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 2025\"/>
    </mc:Choice>
  </mc:AlternateContent>
  <bookViews>
    <workbookView xWindow="0" yWindow="0" windowWidth="19200" windowHeight="11655" tabRatio="976" activeTab="31"/>
  </bookViews>
  <sheets>
    <sheet name="Balanza Abril 2025" sheetId="130" r:id="rId1"/>
    <sheet name="Balanza Marzo 2025" sheetId="129" state="hidden" r:id="rId2"/>
    <sheet name="Balanza Febrero 2025" sheetId="125" state="hidden" r:id="rId3"/>
    <sheet name="Balanza Enero 2025" sheetId="120" state="hidden" r:id="rId4"/>
    <sheet name="Balanza Diciembre 2024" sheetId="119" state="hidden" r:id="rId5"/>
    <sheet name="Balanza Noviembre 2024" sheetId="117" state="hidden" r:id="rId6"/>
    <sheet name="Balanza Octubre 2024" sheetId="116" state="hidden" r:id="rId7"/>
    <sheet name="Balanza Septimbre 2024" sheetId="114" state="hidden" r:id="rId8"/>
    <sheet name="Balanza Agosto 2024" sheetId="113" state="hidden" r:id="rId9"/>
    <sheet name="Balanza Julio 2024" sheetId="111" state="hidden" r:id="rId10"/>
    <sheet name="Balanza Junio 2024" sheetId="105" state="hidden" r:id="rId11"/>
    <sheet name="Balanza Mayo 2024" sheetId="104" state="hidden" r:id="rId12"/>
    <sheet name="Balanza Abril 2024" sheetId="101" state="hidden" r:id="rId13"/>
    <sheet name="Balanza Marzo 2024" sheetId="96" state="hidden" r:id="rId14"/>
    <sheet name="Balanza Febrero 2024" sheetId="94" state="hidden" r:id="rId15"/>
    <sheet name="Balanza Enero 2024" sheetId="92" state="hidden" r:id="rId16"/>
    <sheet name="Balanza MAYO 2023" sheetId="67" state="hidden" r:id="rId17"/>
    <sheet name="Balanza ENERO 2023" sheetId="57" state="hidden" r:id="rId18"/>
    <sheet name="ESF SNS" sheetId="18" r:id="rId19"/>
    <sheet name="ERF SRS" sheetId="19" r:id="rId20"/>
    <sheet name="Activos fijos " sheetId="32" r:id="rId21"/>
    <sheet name="ECAMP" sheetId="21" state="hidden" r:id="rId22"/>
    <sheet name="EST. Flujo Efc" sheetId="20" state="hidden" r:id="rId23"/>
    <sheet name="Efectivo" sheetId="8" r:id="rId24"/>
    <sheet name="Cuenta por Cobrar" sheetId="9" r:id="rId25"/>
    <sheet name="Inventario" sheetId="10" r:id="rId26"/>
    <sheet name="CXP Corto plazo" sheetId="12" r:id="rId27"/>
    <sheet name="Retenciones y Acum." sheetId="7" r:id="rId28"/>
    <sheet name="Benef. Empl x p Corto Plazo" sheetId="14" state="hidden" r:id="rId29"/>
    <sheet name="CXP Largo Plazo" sheetId="22" state="hidden" r:id="rId30"/>
    <sheet name="Benef. Empl x pagar Larg. Plaz" sheetId="27" state="hidden" r:id="rId31"/>
    <sheet name="Ingresos" sheetId="16" r:id="rId32"/>
    <sheet name="Total Gasto" sheetId="23" r:id="rId33"/>
  </sheets>
  <externalReferences>
    <externalReference r:id="rId34"/>
    <externalReference r:id="rId35"/>
  </externalReferences>
  <definedNames>
    <definedName name="ARA_Threshold">[1]Lead!$O$2</definedName>
    <definedName name="_xlnm.Print_Area" localSheetId="20">'Activos fijos '!$A$1:$K$19</definedName>
    <definedName name="_xlnm.Print_Area" localSheetId="12">'Balanza Abril 2024'!$B$27:$F$44</definedName>
    <definedName name="_xlnm.Print_Area" localSheetId="0">'Balanza Abril 2025'!$B$25:$F$42</definedName>
    <definedName name="_xlnm.Print_Area" localSheetId="8">'Balanza Agosto 2024'!$B$26:$F$41</definedName>
    <definedName name="_xlnm.Print_Area" localSheetId="4">'Balanza Diciembre 2024'!$A:$F</definedName>
    <definedName name="_xlnm.Print_Area" localSheetId="15">'Balanza Enero 2024'!$B$25:$F$41</definedName>
    <definedName name="_xlnm.Print_Area" localSheetId="3">'Balanza Enero 2025'!$B$25:$F$46</definedName>
    <definedName name="_xlnm.Print_Area" localSheetId="14">'Balanza Febrero 2024'!$B$27:$F$48</definedName>
    <definedName name="_xlnm.Print_Area" localSheetId="2">'Balanza Febrero 2025'!$A$1:$F$46</definedName>
    <definedName name="_xlnm.Print_Area" localSheetId="10">'Balanza Junio 2024'!$A$1:$F$49</definedName>
    <definedName name="_xlnm.Print_Area" localSheetId="13">'Balanza Marzo 2024'!$A$1:$F$41</definedName>
    <definedName name="_xlnm.Print_Area" localSheetId="1">'Balanza Marzo 2025'!$B$26:$F$45</definedName>
    <definedName name="_xlnm.Print_Area" localSheetId="16">'Balanza MAYO 2023'!$B$29:$F$49</definedName>
    <definedName name="_xlnm.Print_Area" localSheetId="11">'Balanza Mayo 2024'!$B$27:$F$47</definedName>
    <definedName name="_xlnm.Print_Area" localSheetId="5">'Balanza Noviembre 2024'!$B$25:$F$47</definedName>
    <definedName name="_xlnm.Print_Area" localSheetId="6">'Balanza Octubre 2024'!$B$26:$F$45</definedName>
    <definedName name="_xlnm.Print_Area" localSheetId="7">'Balanza Septimbre 2024'!$B$27:$F$48</definedName>
    <definedName name="_xlnm.Print_Area" localSheetId="23">Efectivo!$B$1:$C$36</definedName>
    <definedName name="_xlnm.Print_Area" localSheetId="18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2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12">'Balanza Abril 2024'!$1:$5</definedName>
    <definedName name="_xlnm.Print_Titles" localSheetId="0">'Balanza Abril 2025'!$1:$5</definedName>
    <definedName name="_xlnm.Print_Titles" localSheetId="8">'Balanza Agosto 2024'!$1:$6</definedName>
    <definedName name="_xlnm.Print_Titles" localSheetId="4">'Balanza Diciembre 2024'!$1:$6</definedName>
    <definedName name="_xlnm.Print_Titles" localSheetId="17">'Balanza ENERO 2023'!$1:$6</definedName>
    <definedName name="_xlnm.Print_Titles" localSheetId="15">'Balanza Enero 2024'!$1:$5</definedName>
    <definedName name="_xlnm.Print_Titles" localSheetId="3">'Balanza Enero 2025'!$1:$6</definedName>
    <definedName name="_xlnm.Print_Titles" localSheetId="14">'Balanza Febrero 2024'!$1:$7</definedName>
    <definedName name="_xlnm.Print_Titles" localSheetId="2">'Balanza Febrero 2025'!$1:$5</definedName>
    <definedName name="_xlnm.Print_Titles" localSheetId="9">'Balanza Julio 2024'!$2:$5</definedName>
    <definedName name="_xlnm.Print_Titles" localSheetId="13">'Balanza Marzo 2024'!$1:$6</definedName>
    <definedName name="_xlnm.Print_Titles" localSheetId="1">'Balanza Marzo 2025'!$1:$5</definedName>
    <definedName name="_xlnm.Print_Titles" localSheetId="16">'Balanza MAYO 2023'!$1:$7</definedName>
    <definedName name="_xlnm.Print_Titles" localSheetId="11">'Balanza Mayo 2024'!$1:$5</definedName>
    <definedName name="_xlnm.Print_Titles" localSheetId="5">'Balanza Noviembre 2024'!$1:$5</definedName>
    <definedName name="_xlnm.Print_Titles" localSheetId="6">'Balanza Octubre 2024'!$1:$6</definedName>
    <definedName name="_xlnm.Print_Titles" localSheetId="7">'Balanza Septimbre 2024'!$1:$6</definedName>
  </definedNames>
  <calcPr calcId="152511"/>
</workbook>
</file>

<file path=xl/calcChain.xml><?xml version="1.0" encoding="utf-8"?>
<calcChain xmlns="http://schemas.openxmlformats.org/spreadsheetml/2006/main">
  <c r="F26" i="130" l="1"/>
  <c r="F27" i="130"/>
  <c r="F28" i="130"/>
  <c r="F29" i="130"/>
  <c r="F30" i="130"/>
  <c r="F31" i="130"/>
  <c r="F32" i="130"/>
  <c r="F33" i="130"/>
  <c r="F34" i="130"/>
  <c r="G34" i="130" s="1"/>
  <c r="F35" i="130"/>
  <c r="F36" i="130"/>
  <c r="F37" i="130"/>
  <c r="G37" i="130" s="1"/>
  <c r="F25" i="130"/>
  <c r="F42" i="130" s="1"/>
  <c r="F24" i="130"/>
  <c r="F19" i="130"/>
  <c r="F20" i="130"/>
  <c r="F21" i="130"/>
  <c r="F22" i="130"/>
  <c r="F23" i="130"/>
  <c r="F18" i="130"/>
  <c r="G35" i="130" l="1"/>
  <c r="F9" i="130"/>
  <c r="F10" i="130"/>
  <c r="F11" i="130"/>
  <c r="F12" i="130"/>
  <c r="F13" i="130"/>
  <c r="F14" i="130"/>
  <c r="F15" i="130"/>
  <c r="F16" i="130"/>
  <c r="F17" i="130"/>
  <c r="F8" i="130"/>
  <c r="G11" i="130" s="1"/>
  <c r="G17" i="130" l="1"/>
  <c r="F38" i="130"/>
  <c r="E38" i="130"/>
  <c r="D38" i="130"/>
  <c r="D42" i="130" l="1"/>
  <c r="G17" i="129" l="1"/>
  <c r="G11" i="129"/>
  <c r="G38" i="129"/>
  <c r="G36" i="129"/>
  <c r="G41" i="129"/>
  <c r="F45" i="129"/>
  <c r="F27" i="129"/>
  <c r="F28" i="129"/>
  <c r="F29" i="129"/>
  <c r="F30" i="129"/>
  <c r="F31" i="129"/>
  <c r="F32" i="129"/>
  <c r="F33" i="129"/>
  <c r="F34" i="129"/>
  <c r="F35" i="129"/>
  <c r="F36" i="129"/>
  <c r="F37" i="129"/>
  <c r="F38" i="129"/>
  <c r="F39" i="129"/>
  <c r="F40" i="129"/>
  <c r="F41" i="129"/>
  <c r="F26" i="129"/>
  <c r="F20" i="129"/>
  <c r="F21" i="129"/>
  <c r="F22" i="129"/>
  <c r="F23" i="129"/>
  <c r="F24" i="129"/>
  <c r="F25" i="129"/>
  <c r="F9" i="129"/>
  <c r="F10" i="129"/>
  <c r="F11" i="129"/>
  <c r="F12" i="129"/>
  <c r="F13" i="129"/>
  <c r="F14" i="129"/>
  <c r="F15" i="129"/>
  <c r="F16" i="129"/>
  <c r="F17" i="129"/>
  <c r="F18" i="129"/>
  <c r="F19" i="129"/>
  <c r="F8" i="129"/>
  <c r="E42" i="129"/>
  <c r="D45" i="129" s="1"/>
  <c r="D42" i="129"/>
  <c r="F42" i="129" l="1"/>
  <c r="F27" i="32"/>
  <c r="G10" i="125" l="1"/>
  <c r="G35" i="125"/>
  <c r="G41" i="125"/>
  <c r="G42" i="125"/>
  <c r="F26" i="125"/>
  <c r="F27" i="125"/>
  <c r="F28" i="125"/>
  <c r="F29" i="125"/>
  <c r="F30" i="125"/>
  <c r="F31" i="125"/>
  <c r="F32" i="125"/>
  <c r="F33" i="125"/>
  <c r="F34" i="125"/>
  <c r="F35" i="125"/>
  <c r="F36" i="125"/>
  <c r="F37" i="125"/>
  <c r="F38" i="125"/>
  <c r="F39" i="125"/>
  <c r="F40" i="125"/>
  <c r="F41" i="125"/>
  <c r="F42" i="125"/>
  <c r="F25" i="125"/>
  <c r="F19" i="125"/>
  <c r="F20" i="125"/>
  <c r="F21" i="125"/>
  <c r="F22" i="125"/>
  <c r="F23" i="125"/>
  <c r="F24" i="125"/>
  <c r="F18" i="125"/>
  <c r="F9" i="125"/>
  <c r="F10" i="125"/>
  <c r="F11" i="125"/>
  <c r="F12" i="125"/>
  <c r="F13" i="125"/>
  <c r="F14" i="125"/>
  <c r="F15" i="125"/>
  <c r="F16" i="125"/>
  <c r="F8" i="125"/>
  <c r="G16" i="125" l="1"/>
  <c r="F43" i="125"/>
  <c r="E43" i="125"/>
  <c r="D43" i="125"/>
  <c r="F46" i="120" l="1"/>
  <c r="G38" i="120"/>
  <c r="G43" i="120"/>
  <c r="G42" i="120"/>
  <c r="G17" i="120"/>
  <c r="G11" i="120"/>
  <c r="F19" i="120" l="1"/>
  <c r="F20" i="120"/>
  <c r="F21" i="120"/>
  <c r="F22" i="120"/>
  <c r="F23" i="120"/>
  <c r="F24" i="120"/>
  <c r="F25" i="120"/>
  <c r="F18" i="120"/>
  <c r="F27" i="120"/>
  <c r="F28" i="120"/>
  <c r="F29" i="120"/>
  <c r="F30" i="120"/>
  <c r="F31" i="120"/>
  <c r="F32" i="120"/>
  <c r="F33" i="120"/>
  <c r="F34" i="120"/>
  <c r="F35" i="120"/>
  <c r="F36" i="120"/>
  <c r="F37" i="120"/>
  <c r="F38" i="120"/>
  <c r="F39" i="120"/>
  <c r="F40" i="120"/>
  <c r="F41" i="120"/>
  <c r="F42" i="120"/>
  <c r="F43" i="120"/>
  <c r="F26" i="120"/>
  <c r="F44" i="120" l="1"/>
  <c r="F10" i="120"/>
  <c r="F11" i="120"/>
  <c r="F12" i="120"/>
  <c r="F13" i="120"/>
  <c r="F14" i="120"/>
  <c r="F15" i="120"/>
  <c r="F16" i="120"/>
  <c r="F17" i="120"/>
  <c r="F9" i="120"/>
  <c r="E44" i="120"/>
  <c r="D44" i="120"/>
  <c r="D47" i="120" l="1"/>
  <c r="F34" i="119" l="1"/>
  <c r="F27" i="119" l="1"/>
  <c r="F49" i="119" s="1"/>
  <c r="F28" i="119"/>
  <c r="G28" i="119" s="1"/>
  <c r="F29" i="119"/>
  <c r="F30" i="119"/>
  <c r="F31" i="119"/>
  <c r="F32" i="119"/>
  <c r="F33" i="119"/>
  <c r="F35" i="119"/>
  <c r="F36" i="119"/>
  <c r="F37" i="119"/>
  <c r="G37" i="119" s="1"/>
  <c r="F38" i="119"/>
  <c r="F39" i="119"/>
  <c r="F40" i="119"/>
  <c r="F41" i="119"/>
  <c r="F42" i="119"/>
  <c r="F43" i="119"/>
  <c r="F44" i="119"/>
  <c r="F45" i="119"/>
  <c r="G45" i="119" s="1"/>
  <c r="F26" i="119"/>
  <c r="E46" i="119"/>
  <c r="D46" i="119"/>
  <c r="F20" i="119"/>
  <c r="F21" i="119"/>
  <c r="F22" i="119"/>
  <c r="F23" i="119"/>
  <c r="F24" i="119"/>
  <c r="F25" i="119"/>
  <c r="F19" i="119"/>
  <c r="F10" i="119"/>
  <c r="F11" i="119"/>
  <c r="F12" i="119"/>
  <c r="F13" i="119"/>
  <c r="F14" i="119"/>
  <c r="F15" i="119"/>
  <c r="F16" i="119"/>
  <c r="G18" i="119" s="1"/>
  <c r="F17" i="119"/>
  <c r="F18" i="119"/>
  <c r="F9" i="119"/>
  <c r="G12" i="119" s="1"/>
  <c r="F46" i="119" l="1"/>
  <c r="G44" i="119"/>
  <c r="D50" i="119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G40" i="117" l="1"/>
  <c r="G37" i="117"/>
  <c r="F46" i="117"/>
  <c r="G17" i="117"/>
  <c r="G42" i="117"/>
  <c r="G11" i="117"/>
  <c r="G26" i="117"/>
  <c r="D46" i="117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L31" i="32" s="1"/>
  <c r="K25" i="32"/>
  <c r="K26" i="32"/>
  <c r="K27" i="32"/>
  <c r="K28" i="32"/>
  <c r="K30" i="32"/>
  <c r="K31" i="32"/>
  <c r="K32" i="32"/>
  <c r="K23" i="32"/>
  <c r="I23" i="32"/>
  <c r="L28" i="32" l="1"/>
  <c r="K33" i="32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3" i="19"/>
  <c r="F33" i="19"/>
  <c r="F22" i="19"/>
  <c r="H21" i="19"/>
  <c r="H22" i="19" s="1"/>
  <c r="H12" i="19"/>
  <c r="F12" i="19"/>
  <c r="H6" i="19"/>
  <c r="E50" i="18"/>
  <c r="F41" i="18"/>
  <c r="F51" i="18" s="1"/>
  <c r="F61" i="18" s="1"/>
  <c r="F26" i="18"/>
  <c r="F16" i="18"/>
  <c r="B14" i="10"/>
  <c r="C35" i="8"/>
  <c r="B26" i="16" l="1"/>
  <c r="F28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8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<sst xmlns="http://schemas.openxmlformats.org/spreadsheetml/2006/main" count="1887" uniqueCount="491">
  <si>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</si>
  <si>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</si>
  <si>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</si>
  <si>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</si>
  <si>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</si>
  <si>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</si>
  <si>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</si>
  <si>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</si>
  <si>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</si>
  <si>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</si>
  <si>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</si>
  <si>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</si>
  <si>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</si>
  <si>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</si>
  <si>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</si>
  <si>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</si>
  <si>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</si>
  <si>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</si>
  <si>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</si>
  <si>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</si>
  <si>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</si>
  <si>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</si>
  <si>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</si>
  <si>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</si>
  <si>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</si>
  <si>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</si>
  <si>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</si>
  <si>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</si>
  <si>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</si>
  <si>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</si>
  <si>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</si>
  <si>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</si>
  <si>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</si>
  <si>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</si>
  <si>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</si>
  <si>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</si>
  <si>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</si>
  <si>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</si>
  <si>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</si>
  <si>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</si>
  <si>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</si>
  <si>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</si>
  <si>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</si>
  <si>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</si>
  <si>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</si>
  <si>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</si>
  <si>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</si>
  <si>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</si>
  <si>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</si>
  <si>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</si>
  <si>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</si>
  <si>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</si>
  <si>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</si>
  <si>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</si>
  <si>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</si>
  <si>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</si>
  <si>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</si>
  <si>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</si>
  <si>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</si>
  <si>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</si>
  <si>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</si>
  <si>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</si>
  <si>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</si>
  <si>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</si>
  <si>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</si>
  <si>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</si>
  <si>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</si>
  <si>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</si>
  <si>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</si>
  <si>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</si>
  <si>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</si>
  <si>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</si>
  <si>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</si>
  <si>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</si>
  <si>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</si>
  <si>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</si>
  <si>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</si>
  <si>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</si>
  <si>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</si>
  <si>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</si>
  <si>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</si>
  <si>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</si>
  <si>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</si>
  <si>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</si>
  <si>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</si>
  <si>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</si>
  <si>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</si>
  <si>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</si>
  <si>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</si>
  <si>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</si>
  <si>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</si>
  <si>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</si>
  <si>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</si>
  <si>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</si>
  <si>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</si>
  <si>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</si>
  <si>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</si>
  <si>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</si>
  <si>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</si>
  <si>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</si>
  <si>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</si>
  <si>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</si>
  <si>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</si>
  <si>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</si>
  <si>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</si>
  <si>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</si>
  <si>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</si>
  <si>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</si>
  <si>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</si>
  <si>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</si>
  <si>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</si>
  <si>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</si>
  <si>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</si>
  <si>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</si>
  <si>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</si>
  <si>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</si>
  <si>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</si>
  <si>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</si>
  <si>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</si>
  <si>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</si>
  <si>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</si>
  <si>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</si>
  <si>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</si>
  <si>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</si>
  <si>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</si>
  <si>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</si>
  <si>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</si>
  <si>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</si>
  <si>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</si>
  <si>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</si>
  <si>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</si>
  <si>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</si>
  <si>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</si>
  <si>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</si>
  <si>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</si>
  <si>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</si>
  <si>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</si>
  <si>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</si>
  <si>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</si>
  <si>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</si>
  <si>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</si>
  <si>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</si>
  <si>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</si>
  <si>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</si>
  <si>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</si>
  <si>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</si>
  <si>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</si>
  <si>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</si>
  <si>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</si>
  <si>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</si>
  <si>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</si>
  <si>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</si>
  <si>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</si>
  <si>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</si>
  <si>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</si>
  <si>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</si>
  <si>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</si>
  <si>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</si>
  <si>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</si>
  <si>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</si>
  <si>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</si>
  <si>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</si>
  <si>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</si>
  <si>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</si>
  <si>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</si>
  <si>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</si>
  <si>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</si>
  <si>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</si>
  <si>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</si>
  <si>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</si>
  <si>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</si>
  <si>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</si>
  <si>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</si>
  <si>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</si>
  <si>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</si>
  <si>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</si>
  <si>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</si>
  <si>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</si>
  <si>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</si>
  <si>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</si>
  <si>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</si>
  <si>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</si>
  <si>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</si>
  <si>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</si>
  <si>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</si>
  <si>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</si>
  <si>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</si>
  <si>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</si>
  <si>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</si>
  <si>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</si>
  <si>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</si>
  <si>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</si>
  <si>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</si>
  <si>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</si>
  <si>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</si>
  <si>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</si>
  <si>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</si>
  <si>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</si>
  <si>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</si>
  <si>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</si>
  <si>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</si>
  <si>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</si>
  <si>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</si>
  <si>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</si>
  <si>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</si>
  <si>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</si>
  <si>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</si>
  <si>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</si>
  <si>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</si>
  <si>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</si>
  <si>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</si>
  <si>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</si>
  <si>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</si>
  <si>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</si>
  <si>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</si>
  <si>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</si>
  <si>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</si>
  <si>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</si>
  <si>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</si>
  <si>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</si>
  <si>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</si>
  <si>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</si>
  <si>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</si>
  <si>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</si>
  <si>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</si>
  <si>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</si>
  <si>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</si>
  <si>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</si>
  <si>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</si>
  <si>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</si>
  <si>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</si>
  <si>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</si>
  <si>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</si>
  <si>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</si>
  <si>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</si>
  <si>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</si>
  <si>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</si>
  <si>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</si>
  <si>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</si>
  <si>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</si>
  <si>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</si>
  <si>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</si>
  <si>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</si>
  <si>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</si>
  <si>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</si>
  <si>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</si>
  <si>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</si>
  <si>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</si>
  <si>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</si>
  <si>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</si>
  <si>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</si>
  <si>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</si>
  <si>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</si>
  <si>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</si>
  <si>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</si>
  <si>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</si>
  <si>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</si>
  <si>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</si>
  <si>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</si>
  <si>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</si>
  <si>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</si>
  <si>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</si>
  <si>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</si>
  <si>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</si>
  <si>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</si>
  <si>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</si>
  <si>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</si>
  <si>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</si>
  <si>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</si>
  <si>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</si>
  <si>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</si>
  <si>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</si>
  <si>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</si>
  <si>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</si>
  <si>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</si>
  <si>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</si>
  <si>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</si>
  <si>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</si>
  <si>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</si>
  <si>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</si>
  <si>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</si>
  <si>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</si>
  <si>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</si>
  <si>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</si>
  <si>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</si>
  <si>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</si>
  <si>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</si>
  <si>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</si>
  <si>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</si>
  <si>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</si>
  <si>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</si>
  <si>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</si>
  <si>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</si>
  <si>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</si>
  <si>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</si>
  <si>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</si>
  <si>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</si>
  <si>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</si>
  <si>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</si>
  <si>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</si>
  <si>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</si>
  <si>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</si>
  <si>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</si>
  <si>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</si>
  <si>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</si>
  <si>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</si>
  <si>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</si>
  <si>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</si>
  <si>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</si>
  <si>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</si>
  <si>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</si>
  <si>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</si>
  <si>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</si>
  <si>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</si>
  <si>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</si>
  <si>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</si>
  <si>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</si>
  <si>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</si>
  <si>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</si>
  <si>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</si>
  <si>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</si>
  <si>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</si>
  <si>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</si>
  <si>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</si>
  <si>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</si>
  <si>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</si>
  <si>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</si>
  <si>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</si>
  <si>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</si>
  <si>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</si>
  <si>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</si>
  <si>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</si>
  <si>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</si>
  <si>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</si>
  <si>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</si>
  <si>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</si>
  <si>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</si>
  <si>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</si>
  <si>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</si>
  <si>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</si>
  <si>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</si>
  <si>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</si>
  <si>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</si>
  <si>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</si>
  <si>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</si>
  <si>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</si>
  <si>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</si>
  <si>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</si>
  <si>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</si>
  <si>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</si>
  <si>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</si>
  <si>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</si>
  <si>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</si>
  <si>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</si>
  <si>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</si>
  <si>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</si>
  <si>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</si>
  <si>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</si>
  <si>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</si>
  <si>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</si>
  <si>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</si>
  <si>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</si>
  <si>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</si>
  <si>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</si>
  <si>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</si>
  <si>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</si>
  <si>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</si>
  <si>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</si>
  <si>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</si>
  <si>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</si>
  <si>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</si>
  <si>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</si>
  <si>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</si>
  <si>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</si>
  <si>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</si>
  <si>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</si>
  <si>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</si>
  <si>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</si>
  <si>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</si>
  <si>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</si>
  <si>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</si>
  <si>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</si>
  <si>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</si>
  <si>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</si>
  <si>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</si>
  <si>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</si>
  <si>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</si>
  <si>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</si>
  <si>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</si>
  <si>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</si>
  <si>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</si>
  <si>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</si>
  <si>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</si>
  <si>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</si>
  <si>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</si>
  <si>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</si>
  <si>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</si>
  <si>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</si>
  <si>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</si>
  <si>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</si>
  <si>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</si>
  <si>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</si>
  <si>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</si>
  <si>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</si>
  <si>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</si>
  <si>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</si>
  <si>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</si>
  <si>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</si>
  <si>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</si>
  <si>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</si>
  <si>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</si>
  <si>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</si>
  <si>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</si>
  <si>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</si>
  <si>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</si>
  <si>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</si>
  <si>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</si>
  <si>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</si>
  <si>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</si>
  <si>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</si>
  <si>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</si>
  <si>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</si>
  <si>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</si>
  <si>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</si>
  <si>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</si>
  <si>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</si>
  <si>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</si>
  <si>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</si>
  <si>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</si>
  <si>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</si>
  <si>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</si>
  <si>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</si>
  <si>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</si>
  <si>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</si>
  <si>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</si>
  <si>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</si>
  <si>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</si>
  <si>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</si>
  <si>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</si>
  <si>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</si>
  <si>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</si>
  <si>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</si>
  <si>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</si>
  <si>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</si>
  <si>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</si>
  <si>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</si>
  <si>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</si>
  <si>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</si>
  <si>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</si>
  <si>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</si>
  <si>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</si>
  <si>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</si>
  <si>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</si>
  <si>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</si>
  <si>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</si>
  <si>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</si>
  <si>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</si>
  <si>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</si>
  <si>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</si>
  <si>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</si>
  <si>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</si>
  <si>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</si>
  <si>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</si>
  <si>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</si>
  <si>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</si>
  <si>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</si>
  <si>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</si>
  <si>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</si>
  <si>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</si>
  <si>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</si>
  <si>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</si>
  <si>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</si>
  <si>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</si>
  <si>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51010200010007</t>
  </si>
  <si>
    <t>Del ejercicio terminado de Diciembre  2024</t>
  </si>
  <si>
    <t>Del Ejercicio terminado Diciembre     2024</t>
  </si>
  <si>
    <t>Del Ejercicio terminado Diciembre   2024</t>
  </si>
  <si>
    <t>Del Ejercicio terminado  Diciembre 2024</t>
  </si>
  <si>
    <t>Del ejercicio terminado de ENERO  2025</t>
  </si>
  <si>
    <t>Del ejercicio terminado de Febrero   2025</t>
  </si>
  <si>
    <t>Del ejercicio terminado de Marzo   2025</t>
  </si>
  <si>
    <t>Del ejercicio terminado de Abril  2025</t>
  </si>
  <si>
    <t>Del ejercicio terminado Abril    2025</t>
  </si>
  <si>
    <t>Del ejercicio terminado Abril  2025</t>
  </si>
  <si>
    <t>Del ejercicio terminado de abril 2025</t>
  </si>
  <si>
    <t>Del ejercicio terminado de Abril    2025</t>
  </si>
  <si>
    <t>Del Ejercicio terminado Abril 2025</t>
  </si>
  <si>
    <t>Del Ejercicio terminado Abril  2025</t>
  </si>
  <si>
    <t>Del Ejercicio terminado  Abril 2025</t>
  </si>
  <si>
    <t>Del Ejercicio terminado abril   2025</t>
  </si>
  <si>
    <t>Del Ejercicio terminado  Abril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</si>
</sst>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9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8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43" fontId="46" fillId="18" borderId="0" xfId="2" applyFont="1" applyFill="1" applyBorder="1"/>
    <xf numFmtId="43" fontId="82" fillId="4" borderId="17" xfId="2" applyFont="1" applyFill="1" applyBorder="1" applyAlignment="1">
      <alignment horizontal="center"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vertical="top" wrapText="1" readingOrder="1"/>
    </xf>
    <xf numFmtId="0" fontId="82" fillId="4" borderId="17" xfId="14" applyNumberFormat="1" applyFont="1" applyFill="1" applyBorder="1" applyAlignment="1">
      <alignment horizontal="center" vertical="top" wrapText="1" readingOrder="1"/>
    </xf>
    <xf numFmtId="43" fontId="82" fillId="4" borderId="17" xfId="2" applyFont="1" applyFill="1" applyBorder="1" applyAlignment="1">
      <alignment vertical="top" wrapText="1" readingOrder="1"/>
    </xf>
    <xf numFmtId="43" fontId="81" fillId="16" borderId="0" xfId="14" applyNumberFormat="1" applyFont="1" applyFill="1" applyBorder="1"/>
    <xf numFmtId="41" fontId="11" fillId="0" borderId="0" xfId="0" applyNumberFormat="1" applyFont="1" applyFill="1" applyBorder="1" applyAlignment="1"/>
    <xf numFmtId="41" fontId="11" fillId="0" borderId="0" xfId="0" applyNumberFormat="1" applyFont="1" applyFill="1" applyAlignment="1"/>
    <xf numFmtId="0" fontId="83" fillId="0" borderId="18" xfId="14" applyNumberFormat="1" applyFont="1" applyFill="1" applyBorder="1" applyAlignment="1">
      <alignment vertical="top" wrapText="1" readingOrder="1"/>
    </xf>
    <xf numFmtId="0" fontId="84" fillId="5" borderId="18" xfId="14" applyNumberFormat="1" applyFont="1" applyFill="1" applyBorder="1" applyAlignment="1">
      <alignment vertical="top" wrapText="1" readingOrder="1"/>
    </xf>
    <xf numFmtId="0" fontId="82" fillId="4" borderId="18" xfId="14" applyNumberFormat="1" applyFont="1" applyFill="1" applyBorder="1" applyAlignment="1">
      <alignment horizontal="center" vertical="top" wrapText="1" readingOrder="1"/>
    </xf>
    <xf numFmtId="0" fontId="45" fillId="0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/>
    <xf numFmtId="0" fontId="86" fillId="4" borderId="17" xfId="14" applyNumberFormat="1" applyFont="1" applyFill="1" applyBorder="1" applyAlignment="1">
      <alignment vertical="top" wrapText="1" readingOrder="1"/>
    </xf>
    <xf numFmtId="0" fontId="87" fillId="0" borderId="17" xfId="14" applyNumberFormat="1" applyFont="1" applyFill="1" applyBorder="1" applyAlignment="1">
      <alignment vertical="top" wrapText="1" readingOrder="1"/>
    </xf>
    <xf numFmtId="0" fontId="88" fillId="5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 applyAlignment="1"/>
    <xf numFmtId="43" fontId="85" fillId="0" borderId="0" xfId="2" applyFont="1" applyFill="1" applyBorder="1"/>
    <xf numFmtId="43" fontId="86" fillId="4" borderId="17" xfId="2" applyFont="1" applyFill="1" applyBorder="1" applyAlignment="1">
      <alignment horizontal="center" vertical="top" wrapText="1" readingOrder="1"/>
    </xf>
    <xf numFmtId="43" fontId="87" fillId="0" borderId="17" xfId="2" applyFont="1" applyFill="1" applyBorder="1" applyAlignment="1">
      <alignment vertical="top" wrapText="1" readingOrder="1"/>
    </xf>
    <xf numFmtId="43" fontId="87" fillId="0" borderId="17" xfId="2" applyFont="1" applyFill="1" applyBorder="1" applyAlignment="1">
      <alignment horizontal="right" vertical="top" wrapText="1" readingOrder="1"/>
    </xf>
    <xf numFmtId="43" fontId="85" fillId="0" borderId="0" xfId="14" applyNumberFormat="1" applyFont="1" applyFill="1" applyBorder="1"/>
    <xf numFmtId="43" fontId="88" fillId="5" borderId="23" xfId="2" applyFont="1" applyFill="1" applyBorder="1" applyAlignment="1">
      <alignment horizontal="right" vertical="top" wrapText="1" readingOrder="1"/>
    </xf>
    <xf numFmtId="43" fontId="85" fillId="0" borderId="12" xfId="14" applyNumberFormat="1" applyFont="1" applyFill="1" applyBorder="1"/>
    <xf numFmtId="0" fontId="90" fillId="0" borderId="0" xfId="14" applyFont="1" applyFill="1" applyBorder="1"/>
    <xf numFmtId="0" fontId="90" fillId="0" borderId="0" xfId="14" applyFont="1" applyFill="1" applyBorder="1" applyAlignment="1"/>
    <xf numFmtId="0" fontId="91" fillId="4" borderId="17" xfId="14" applyNumberFormat="1" applyFont="1" applyFill="1" applyBorder="1" applyAlignment="1">
      <alignment vertical="top" wrapText="1" readingOrder="1"/>
    </xf>
    <xf numFmtId="0" fontId="89" fillId="0" borderId="17" xfId="14" applyNumberFormat="1" applyFont="1" applyFill="1" applyBorder="1" applyAlignment="1">
      <alignment vertical="top" wrapText="1" readingOrder="1"/>
    </xf>
    <xf numFmtId="0" fontId="92" fillId="5" borderId="17" xfId="14" applyNumberFormat="1" applyFont="1" applyFill="1" applyBorder="1" applyAlignment="1">
      <alignment vertical="top" wrapText="1" readingOrder="1"/>
    </xf>
    <xf numFmtId="43" fontId="90" fillId="0" borderId="0" xfId="2" applyFont="1" applyFill="1" applyBorder="1"/>
    <xf numFmtId="43" fontId="89" fillId="0" borderId="17" xfId="2" applyFont="1" applyFill="1" applyBorder="1" applyAlignment="1">
      <alignment horizontal="right" vertical="top" wrapText="1" readingOrder="1"/>
    </xf>
    <xf numFmtId="43" fontId="89" fillId="0" borderId="17" xfId="2" applyFont="1" applyFill="1" applyBorder="1" applyAlignment="1">
      <alignment vertical="top" wrapText="1" readingOrder="1"/>
    </xf>
    <xf numFmtId="43" fontId="92" fillId="5" borderId="17" xfId="2" applyFont="1" applyFill="1" applyBorder="1" applyAlignment="1">
      <alignment vertical="top" wrapText="1" readingOrder="1"/>
    </xf>
    <xf numFmtId="43" fontId="90" fillId="0" borderId="0" xfId="14" applyNumberFormat="1" applyFont="1" applyFill="1" applyBorder="1"/>
    <xf numFmtId="43" fontId="91" fillId="4" borderId="17" xfId="2" applyFont="1" applyFill="1" applyBorder="1" applyAlignment="1">
      <alignment vertical="top" wrapText="1" readingOrder="1"/>
    </xf>
    <xf numFmtId="43" fontId="91" fillId="4" borderId="17" xfId="2" applyFont="1" applyFill="1" applyBorder="1" applyAlignment="1">
      <alignment horizontal="center" vertical="top" wrapText="1" readingOrder="1"/>
    </xf>
    <xf numFmtId="43" fontId="90" fillId="6" borderId="0" xfId="14" applyNumberFormat="1" applyFont="1" applyFill="1" applyBorder="1"/>
    <xf numFmtId="43" fontId="90" fillId="11" borderId="0" xfId="14" applyNumberFormat="1" applyFont="1" applyFill="1" applyBorder="1"/>
    <xf numFmtId="43" fontId="90" fillId="17" borderId="0" xfId="14" applyNumberFormat="1" applyFont="1" applyFill="1" applyBorder="1"/>
    <xf numFmtId="43" fontId="58" fillId="0" borderId="0" xfId="2" applyFont="1" applyFill="1" applyBorder="1"/>
    <xf numFmtId="0" fontId="93" fillId="0" borderId="0" xfId="14" applyFont="1" applyFill="1" applyBorder="1"/>
    <xf numFmtId="0" fontId="93" fillId="0" borderId="0" xfId="14" applyFont="1" applyFill="1" applyBorder="1" applyAlignment="1"/>
    <xf numFmtId="0" fontId="94" fillId="4" borderId="17" xfId="14" applyNumberFormat="1" applyFont="1" applyFill="1" applyBorder="1" applyAlignment="1">
      <alignment vertical="top" wrapText="1" readingOrder="1"/>
    </xf>
    <xf numFmtId="0" fontId="95" fillId="0" borderId="17" xfId="14" applyNumberFormat="1" applyFont="1" applyFill="1" applyBorder="1" applyAlignment="1">
      <alignment vertical="top" wrapText="1" readingOrder="1"/>
    </xf>
    <xf numFmtId="0" fontId="96" fillId="5" borderId="17" xfId="14" applyNumberFormat="1" applyFont="1" applyFill="1" applyBorder="1" applyAlignment="1">
      <alignment vertical="top" wrapText="1" readingOrder="1"/>
    </xf>
    <xf numFmtId="43" fontId="93" fillId="0" borderId="0" xfId="2" applyFont="1" applyFill="1" applyBorder="1"/>
    <xf numFmtId="43" fontId="94" fillId="4" borderId="17" xfId="2" applyFont="1" applyFill="1" applyBorder="1" applyAlignment="1">
      <alignment vertical="top" wrapText="1" readingOrder="1"/>
    </xf>
    <xf numFmtId="43" fontId="94" fillId="4" borderId="17" xfId="2" applyFont="1" applyFill="1" applyBorder="1" applyAlignment="1">
      <alignment horizontal="center" vertical="top" wrapText="1" readingOrder="1"/>
    </xf>
    <xf numFmtId="43" fontId="95" fillId="0" borderId="17" xfId="2" applyFont="1" applyFill="1" applyBorder="1" applyAlignment="1">
      <alignment vertical="top" wrapText="1" readingOrder="1"/>
    </xf>
    <xf numFmtId="43" fontId="95" fillId="0" borderId="17" xfId="2" applyFont="1" applyFill="1" applyBorder="1" applyAlignment="1">
      <alignment horizontal="right" vertical="top" wrapText="1" readingOrder="1"/>
    </xf>
    <xf numFmtId="43" fontId="96" fillId="5" borderId="17" xfId="2" applyFont="1" applyFill="1" applyBorder="1" applyAlignment="1">
      <alignment vertical="top" wrapText="1" readingOrder="1"/>
    </xf>
    <xf numFmtId="4" fontId="35" fillId="0" borderId="0" xfId="0" applyNumberFormat="1" applyFont="1" applyFill="1" applyBorder="1" applyAlignment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93" fillId="0" borderId="0" xfId="14" applyNumberFormat="1" applyFont="1" applyFill="1" applyBorder="1"/>
    <xf numFmtId="43" fontId="93" fillId="6" borderId="0" xfId="2" applyFont="1" applyFill="1" applyBorder="1"/>
    <xf numFmtId="43" fontId="93" fillId="17" borderId="0" xfId="2" applyFont="1" applyFill="1" applyBorder="1"/>
    <xf numFmtId="43" fontId="93" fillId="7" borderId="0" xfId="2" applyFont="1" applyFill="1" applyBorder="1"/>
    <xf numFmtId="41" fontId="11" fillId="2" borderId="1" xfId="0" applyNumberFormat="1" applyFont="1" applyFill="1" applyBorder="1" applyAlignment="1">
      <alignment horizontal="right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238125</xdr:rowOff>
    </xdr:from>
    <xdr:to>
      <xdr:col>2</xdr:col>
      <xdr:colOff>323850</xdr:colOff>
      <xdr:row>4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38125"/>
          <a:ext cx="2038350" cy="1000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57151</xdr:rowOff>
    </xdr:from>
    <xdr:to>
      <xdr:col>2</xdr:col>
      <xdr:colOff>523875</xdr:colOff>
      <xdr:row>4</xdr:row>
      <xdr:rowOff>161926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180976"/>
          <a:ext cx="2333624" cy="876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38100</xdr:rowOff>
    </xdr:from>
    <xdr:to>
      <xdr:col>3</xdr:col>
      <xdr:colOff>628650</xdr:colOff>
      <xdr:row>2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28575</xdr:rowOff>
    </xdr:from>
    <xdr:to>
      <xdr:col>2</xdr:col>
      <xdr:colOff>742950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52400"/>
          <a:ext cx="22383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2</xdr:col>
      <xdr:colOff>295276</xdr:colOff>
      <xdr:row>4</xdr:row>
      <xdr:rowOff>95251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1"/>
          <a:ext cx="215265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09550"/>
          <a:ext cx="21526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pane ySplit="5" topLeftCell="A24" activePane="bottomLeft" state="frozen"/>
      <selection pane="bottomLeft" activeCell="A4" sqref="A4:F4"/>
    </sheetView>
  </sheetViews>
  <sheetFormatPr baseColWidth="10" defaultRowHeight="15"/>
  <cols>
    <col min="1" max="1" width="17.5703125" style="451" customWidth="1"/>
    <col min="2" max="2" width="18.85546875" style="446" customWidth="1"/>
    <col min="3" max="3" width="43.42578125" style="446" customWidth="1"/>
    <col min="4" max="4" width="16" style="451" customWidth="1"/>
    <col min="5" max="5" width="13.85546875" style="451" bestFit="1" customWidth="1"/>
    <col min="6" max="6" width="14.85546875" style="451" bestFit="1" customWidth="1"/>
    <col min="7" max="7" width="14.140625" style="446" bestFit="1" customWidth="1"/>
    <col min="8" max="16384" width="11.42578125" style="446"/>
  </cols>
  <sheetData>
    <row r="1" spans="1:10" ht="18.75" customHeight="1"/>
    <row r="2" spans="1:10" ht="18.75" customHeight="1">
      <c r="A2" s="458" t="s">
        <v>1</v>
      </c>
      <c r="B2" s="458"/>
      <c r="C2" s="458"/>
      <c r="D2" s="458"/>
      <c r="E2" s="458"/>
      <c r="F2" s="458"/>
    </row>
    <row r="3" spans="1:10" ht="18.75" customHeight="1">
      <c r="A3" s="458" t="s">
        <v>481</v>
      </c>
      <c r="B3" s="458"/>
      <c r="C3" s="458"/>
      <c r="D3" s="458"/>
      <c r="E3" s="458"/>
      <c r="F3" s="458"/>
    </row>
    <row r="4" spans="1:10" ht="18.75" customHeight="1">
      <c r="A4" s="458" t="s">
        <v>2</v>
      </c>
      <c r="B4" s="458"/>
      <c r="C4" s="458"/>
      <c r="D4" s="458"/>
      <c r="E4" s="458"/>
      <c r="F4" s="458"/>
    </row>
    <row r="5" spans="1:10" ht="18.75" customHeight="1">
      <c r="C5" s="447"/>
    </row>
    <row r="6" spans="1:10" ht="13.5" customHeight="1"/>
    <row r="7" spans="1:10">
      <c r="A7" s="404" t="s">
        <v>3</v>
      </c>
      <c r="B7" s="448" t="s">
        <v>4</v>
      </c>
      <c r="C7" s="448" t="s">
        <v>5</v>
      </c>
      <c r="D7" s="452" t="s">
        <v>6</v>
      </c>
      <c r="E7" s="453" t="s">
        <v>7</v>
      </c>
      <c r="F7" s="404" t="s">
        <v>8</v>
      </c>
    </row>
    <row r="8" spans="1:10" ht="15" customHeight="1">
      <c r="A8" s="451">
        <v>575.31000000005588</v>
      </c>
      <c r="B8" s="449" t="s">
        <v>11</v>
      </c>
      <c r="C8" s="449" t="s">
        <v>12</v>
      </c>
      <c r="D8" s="454">
        <v>0</v>
      </c>
      <c r="E8" s="455">
        <v>325</v>
      </c>
      <c r="F8" s="178">
        <f>A8+D8-E8</f>
        <v>250.31000000005588</v>
      </c>
    </row>
    <row r="9" spans="1:10" ht="15" customHeight="1">
      <c r="B9" s="449" t="s">
        <v>416</v>
      </c>
      <c r="C9" s="449" t="s">
        <v>13</v>
      </c>
      <c r="D9" s="454">
        <v>30000</v>
      </c>
      <c r="E9" s="455">
        <v>0</v>
      </c>
      <c r="F9" s="178">
        <f t="shared" ref="F9:F17" si="0">A9+D9-E9</f>
        <v>30000</v>
      </c>
      <c r="I9" s="344"/>
      <c r="J9" s="457"/>
    </row>
    <row r="10" spans="1:10" ht="15" customHeight="1">
      <c r="A10" s="451">
        <v>752.34000000217929</v>
      </c>
      <c r="B10" s="449" t="s">
        <v>14</v>
      </c>
      <c r="C10" s="449" t="s">
        <v>15</v>
      </c>
      <c r="D10" s="454">
        <v>0</v>
      </c>
      <c r="E10" s="455">
        <v>325</v>
      </c>
      <c r="F10" s="178">
        <f t="shared" si="0"/>
        <v>427.34000000217929</v>
      </c>
    </row>
    <row r="11" spans="1:10" ht="15" customHeight="1">
      <c r="A11" s="451">
        <v>25214931.129999995</v>
      </c>
      <c r="B11" s="449" t="s">
        <v>9</v>
      </c>
      <c r="C11" s="449" t="s">
        <v>10</v>
      </c>
      <c r="D11" s="454">
        <v>481307.58</v>
      </c>
      <c r="E11" s="455">
        <v>9808183.3599999994</v>
      </c>
      <c r="F11" s="178">
        <f t="shared" si="0"/>
        <v>15888055.349999994</v>
      </c>
      <c r="G11" s="476">
        <f>SUM(F8:F11)</f>
        <v>15918732.999999996</v>
      </c>
    </row>
    <row r="12" spans="1:10" ht="15" customHeight="1">
      <c r="B12" s="175" t="s">
        <v>16</v>
      </c>
      <c r="C12" s="351" t="s">
        <v>17</v>
      </c>
      <c r="D12" s="344">
        <v>4698888.5</v>
      </c>
      <c r="E12" s="455"/>
      <c r="F12" s="178">
        <f t="shared" si="0"/>
        <v>4698888.5</v>
      </c>
    </row>
    <row r="13" spans="1:10" ht="15" customHeight="1">
      <c r="B13" s="241" t="s">
        <v>18</v>
      </c>
      <c r="C13" s="352" t="s">
        <v>19</v>
      </c>
      <c r="D13" s="454"/>
      <c r="E13" s="455"/>
      <c r="F13" s="178">
        <f t="shared" si="0"/>
        <v>0</v>
      </c>
    </row>
    <row r="14" spans="1:10" ht="15" customHeight="1">
      <c r="B14" s="417" t="s">
        <v>20</v>
      </c>
      <c r="C14" s="353" t="s">
        <v>21</v>
      </c>
      <c r="D14" s="454">
        <v>1672241.7000000002</v>
      </c>
      <c r="E14" s="455"/>
      <c r="F14" s="178">
        <f t="shared" si="0"/>
        <v>1672241.7000000002</v>
      </c>
    </row>
    <row r="15" spans="1:10" ht="15" customHeight="1">
      <c r="B15" s="417" t="s">
        <v>22</v>
      </c>
      <c r="C15" s="353" t="s">
        <v>23</v>
      </c>
      <c r="D15" s="454">
        <v>6139314.3399999999</v>
      </c>
      <c r="E15" s="455"/>
      <c r="F15" s="178">
        <f t="shared" si="0"/>
        <v>6139314.3399999999</v>
      </c>
    </row>
    <row r="16" spans="1:10" ht="15" customHeight="1">
      <c r="B16" s="420" t="s">
        <v>24</v>
      </c>
      <c r="C16" s="420" t="s">
        <v>25</v>
      </c>
      <c r="D16" s="454">
        <v>7604387.1599999964</v>
      </c>
      <c r="E16" s="455"/>
      <c r="F16" s="178">
        <f t="shared" si="0"/>
        <v>7604387.1599999964</v>
      </c>
    </row>
    <row r="17" spans="1:7" ht="15" customHeight="1">
      <c r="B17" s="241" t="s">
        <v>59</v>
      </c>
      <c r="C17" s="352" t="s">
        <v>60</v>
      </c>
      <c r="D17" s="454">
        <v>1930481.8299999996</v>
      </c>
      <c r="E17" s="455"/>
      <c r="F17" s="178">
        <f t="shared" si="0"/>
        <v>1930481.8299999996</v>
      </c>
      <c r="G17" s="476">
        <f>SUM(F14:F17)</f>
        <v>17346425.029999994</v>
      </c>
    </row>
    <row r="18" spans="1:7" ht="15" customHeight="1">
      <c r="A18" s="451">
        <v>2977286.13</v>
      </c>
      <c r="B18" s="449" t="s">
        <v>28</v>
      </c>
      <c r="C18" s="449" t="s">
        <v>29</v>
      </c>
      <c r="D18" s="454">
        <v>2990262.04</v>
      </c>
      <c r="E18" s="455">
        <v>7330427.5599999996</v>
      </c>
      <c r="F18" s="445">
        <f t="shared" ref="F18:F24" si="1">-(E18+A18-D18)</f>
        <v>-7317451.6499999994</v>
      </c>
    </row>
    <row r="19" spans="1:7" ht="15" customHeight="1">
      <c r="A19" s="451">
        <v>8128345.0899999999</v>
      </c>
      <c r="B19" s="449" t="s">
        <v>406</v>
      </c>
      <c r="C19" s="449" t="s">
        <v>407</v>
      </c>
      <c r="D19" s="454">
        <v>4785840.3499999996</v>
      </c>
      <c r="E19" s="455">
        <v>763280.88</v>
      </c>
      <c r="F19" s="445">
        <f t="shared" si="1"/>
        <v>-4105785.620000001</v>
      </c>
    </row>
    <row r="20" spans="1:7" ht="15" customHeight="1">
      <c r="A20" s="451">
        <v>1944734.98</v>
      </c>
      <c r="B20" s="449" t="s">
        <v>408</v>
      </c>
      <c r="C20" s="449" t="s">
        <v>409</v>
      </c>
      <c r="D20" s="454">
        <v>0</v>
      </c>
      <c r="E20" s="455">
        <v>125594.89</v>
      </c>
      <c r="F20" s="445">
        <f t="shared" si="1"/>
        <v>-2070329.8699999999</v>
      </c>
    </row>
    <row r="21" spans="1:7" ht="15" customHeight="1">
      <c r="A21" s="451">
        <v>950304.84</v>
      </c>
      <c r="B21" s="449" t="s">
        <v>26</v>
      </c>
      <c r="C21" s="449" t="s">
        <v>27</v>
      </c>
      <c r="D21" s="454">
        <v>286809.02</v>
      </c>
      <c r="E21" s="455">
        <v>104328.88</v>
      </c>
      <c r="F21" s="445">
        <f t="shared" si="1"/>
        <v>-767824.7</v>
      </c>
    </row>
    <row r="22" spans="1:7" ht="15" customHeight="1">
      <c r="A22" s="451">
        <v>-10446188.149999999</v>
      </c>
      <c r="B22" s="417" t="s">
        <v>61</v>
      </c>
      <c r="C22" s="417" t="s">
        <v>62</v>
      </c>
      <c r="D22" s="454"/>
      <c r="E22" s="455">
        <v>22045313.52999999</v>
      </c>
      <c r="F22" s="445">
        <f t="shared" si="1"/>
        <v>-11599125.379999992</v>
      </c>
    </row>
    <row r="23" spans="1:7" ht="15" customHeight="1">
      <c r="A23" s="451">
        <v>21661775.889999997</v>
      </c>
      <c r="B23" s="173" t="s">
        <v>63</v>
      </c>
      <c r="C23" s="234" t="s">
        <v>64</v>
      </c>
      <c r="D23" s="454"/>
      <c r="E23" s="455"/>
      <c r="F23" s="445">
        <f t="shared" si="1"/>
        <v>-21661775.889999997</v>
      </c>
    </row>
    <row r="24" spans="1:7" ht="15" customHeight="1">
      <c r="B24" s="449" t="s">
        <v>30</v>
      </c>
      <c r="C24" s="449" t="s">
        <v>31</v>
      </c>
      <c r="D24" s="454">
        <v>0</v>
      </c>
      <c r="E24" s="455">
        <v>481307.58</v>
      </c>
      <c r="F24" s="445">
        <f t="shared" si="1"/>
        <v>-481307.58</v>
      </c>
    </row>
    <row r="25" spans="1:7" ht="15" customHeight="1">
      <c r="B25" s="449" t="s">
        <v>36</v>
      </c>
      <c r="C25" s="449" t="s">
        <v>37</v>
      </c>
      <c r="D25" s="454">
        <v>179673.49</v>
      </c>
      <c r="E25" s="455">
        <v>0</v>
      </c>
      <c r="F25" s="478">
        <f>D25</f>
        <v>179673.49</v>
      </c>
    </row>
    <row r="26" spans="1:7" ht="15" customHeight="1">
      <c r="B26" s="449" t="s">
        <v>426</v>
      </c>
      <c r="C26" s="449" t="s">
        <v>427</v>
      </c>
      <c r="D26" s="454">
        <v>763280.88</v>
      </c>
      <c r="E26" s="455">
        <v>0</v>
      </c>
      <c r="F26" s="477">
        <f t="shared" ref="F26:F37" si="2">D26</f>
        <v>763280.88</v>
      </c>
    </row>
    <row r="27" spans="1:7" ht="15" customHeight="1">
      <c r="B27" s="449" t="s">
        <v>40</v>
      </c>
      <c r="C27" s="449" t="s">
        <v>41</v>
      </c>
      <c r="D27" s="454">
        <v>1800515.41</v>
      </c>
      <c r="E27" s="455">
        <v>0</v>
      </c>
      <c r="F27" s="478">
        <f t="shared" si="2"/>
        <v>1800515.41</v>
      </c>
    </row>
    <row r="28" spans="1:7" ht="15" customHeight="1">
      <c r="B28" s="449" t="s">
        <v>414</v>
      </c>
      <c r="C28" s="449" t="s">
        <v>42</v>
      </c>
      <c r="D28" s="454">
        <v>15767.35</v>
      </c>
      <c r="E28" s="455">
        <v>0</v>
      </c>
      <c r="F28" s="451">
        <f t="shared" si="2"/>
        <v>15767.35</v>
      </c>
    </row>
    <row r="29" spans="1:7" ht="15" customHeight="1">
      <c r="B29" s="449" t="s">
        <v>43</v>
      </c>
      <c r="C29" s="449" t="s">
        <v>44</v>
      </c>
      <c r="D29" s="454">
        <v>494886.43</v>
      </c>
      <c r="E29" s="455">
        <v>0</v>
      </c>
      <c r="F29" s="451">
        <f t="shared" si="2"/>
        <v>494886.43</v>
      </c>
    </row>
    <row r="30" spans="1:7">
      <c r="B30" s="449" t="s">
        <v>425</v>
      </c>
      <c r="C30" s="449" t="s">
        <v>33</v>
      </c>
      <c r="D30" s="454">
        <v>13200</v>
      </c>
      <c r="E30" s="455">
        <v>0</v>
      </c>
      <c r="F30" s="479">
        <f t="shared" si="2"/>
        <v>13200</v>
      </c>
    </row>
    <row r="31" spans="1:7" ht="15" customHeight="1">
      <c r="B31" s="449" t="s">
        <v>46</v>
      </c>
      <c r="C31" s="449" t="s">
        <v>47</v>
      </c>
      <c r="D31" s="454">
        <v>5031047.34</v>
      </c>
      <c r="E31" s="455">
        <v>0</v>
      </c>
      <c r="F31" s="478">
        <f t="shared" si="2"/>
        <v>5031047.34</v>
      </c>
    </row>
    <row r="32" spans="1:7" ht="15" customHeight="1">
      <c r="B32" s="449" t="s">
        <v>438</v>
      </c>
      <c r="C32" s="449" t="s">
        <v>439</v>
      </c>
      <c r="D32" s="454">
        <v>11151</v>
      </c>
      <c r="E32" s="455">
        <v>0</v>
      </c>
      <c r="F32" s="478">
        <f t="shared" si="2"/>
        <v>11151</v>
      </c>
    </row>
    <row r="33" spans="2:7" ht="15" customHeight="1">
      <c r="B33" s="449" t="s">
        <v>34</v>
      </c>
      <c r="C33" s="449" t="s">
        <v>35</v>
      </c>
      <c r="D33" s="454">
        <v>125594.89</v>
      </c>
      <c r="E33" s="455">
        <v>0</v>
      </c>
      <c r="F33" s="477">
        <f t="shared" si="2"/>
        <v>125594.89</v>
      </c>
    </row>
    <row r="34" spans="2:7" ht="15" customHeight="1">
      <c r="B34" s="449" t="s">
        <v>473</v>
      </c>
      <c r="C34" s="449" t="s">
        <v>48</v>
      </c>
      <c r="D34" s="454">
        <v>104902.96</v>
      </c>
      <c r="E34" s="455">
        <v>0</v>
      </c>
      <c r="F34" s="479">
        <f t="shared" si="2"/>
        <v>104902.96</v>
      </c>
      <c r="G34" s="476">
        <f>SUM(F34+F30)</f>
        <v>118102.96</v>
      </c>
    </row>
    <row r="35" spans="2:7" ht="15" customHeight="1">
      <c r="B35" s="449" t="s">
        <v>440</v>
      </c>
      <c r="C35" s="449" t="s">
        <v>448</v>
      </c>
      <c r="D35" s="454">
        <v>4720</v>
      </c>
      <c r="E35" s="455">
        <v>0</v>
      </c>
      <c r="F35" s="478">
        <f t="shared" si="2"/>
        <v>4720</v>
      </c>
      <c r="G35" s="476">
        <f>SUM(F35+F32+F31+F27+F25)</f>
        <v>7027107.2400000002</v>
      </c>
    </row>
    <row r="36" spans="2:7">
      <c r="B36" s="449" t="s">
        <v>428</v>
      </c>
      <c r="C36" s="449" t="s">
        <v>429</v>
      </c>
      <c r="D36" s="454">
        <v>85000</v>
      </c>
      <c r="E36" s="455">
        <v>0</v>
      </c>
      <c r="F36" s="477">
        <f t="shared" si="2"/>
        <v>85000</v>
      </c>
    </row>
    <row r="37" spans="2:7" ht="15" customHeight="1">
      <c r="B37" s="449" t="s">
        <v>52</v>
      </c>
      <c r="C37" s="449" t="s">
        <v>53</v>
      </c>
      <c r="D37" s="454">
        <v>1409814.41</v>
      </c>
      <c r="E37" s="455">
        <v>0</v>
      </c>
      <c r="F37" s="477">
        <f t="shared" si="2"/>
        <v>1409814.41</v>
      </c>
      <c r="G37" s="476">
        <f>SUM(F37+F36+F33+F26)</f>
        <v>2383690.1799999997</v>
      </c>
    </row>
    <row r="38" spans="2:7">
      <c r="B38" s="450" t="s">
        <v>57</v>
      </c>
      <c r="C38" s="450" t="s">
        <v>58</v>
      </c>
      <c r="D38" s="456">
        <f>SUM(D8:D37)</f>
        <v>40659086.679999985</v>
      </c>
      <c r="E38" s="456">
        <f>SUM(E8:E37)</f>
        <v>40659086.679999985</v>
      </c>
      <c r="F38" s="451">
        <f>SUM(F8:F37)</f>
        <v>-1.862645149230957E-9</v>
      </c>
    </row>
    <row r="39" spans="2:7" ht="14.25" customHeight="1"/>
    <row r="40" spans="2:7" ht="15.75" customHeight="1"/>
    <row r="42" spans="2:7">
      <c r="D42" s="451">
        <f>D38-E38</f>
        <v>0</v>
      </c>
      <c r="F42" s="451">
        <f>SUM(F25:F37)</f>
        <v>10039554.160000002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Impresion5/12/2025 8:59:30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58" t="s">
        <v>1</v>
      </c>
      <c r="B2" s="458"/>
      <c r="C2" s="458"/>
      <c r="D2" s="458"/>
      <c r="E2" s="458"/>
      <c r="F2" s="458"/>
    </row>
    <row r="3" spans="1:7" ht="18.75" customHeight="1">
      <c r="A3" s="458" t="s">
        <v>463</v>
      </c>
      <c r="B3" s="458"/>
      <c r="C3" s="458"/>
      <c r="D3" s="458"/>
      <c r="E3" s="458"/>
      <c r="F3" s="458"/>
    </row>
    <row r="4" spans="1:7" ht="18.75" customHeight="1">
      <c r="A4" s="458" t="s">
        <v>2</v>
      </c>
      <c r="B4" s="458"/>
      <c r="C4" s="458"/>
      <c r="D4" s="458"/>
      <c r="E4" s="458"/>
      <c r="F4" s="458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58" t="s">
        <v>1</v>
      </c>
      <c r="B2" s="458"/>
      <c r="C2" s="458"/>
      <c r="D2" s="458"/>
      <c r="E2" s="458"/>
      <c r="F2" s="458"/>
    </row>
    <row r="3" spans="1:7" ht="15.75">
      <c r="A3" s="458" t="s">
        <v>459</v>
      </c>
      <c r="B3" s="458"/>
      <c r="C3" s="458"/>
      <c r="D3" s="458"/>
      <c r="E3" s="458"/>
      <c r="F3" s="458"/>
    </row>
    <row r="4" spans="1:7" ht="15.75">
      <c r="A4" s="458" t="s">
        <v>2</v>
      </c>
      <c r="B4" s="458"/>
      <c r="C4" s="458"/>
      <c r="D4" s="458"/>
      <c r="E4" s="458"/>
      <c r="F4" s="458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58" t="s">
        <v>1</v>
      </c>
      <c r="B2" s="458"/>
      <c r="C2" s="458"/>
      <c r="D2" s="458"/>
      <c r="E2" s="458"/>
      <c r="F2" s="458"/>
    </row>
    <row r="3" spans="1:7" ht="15.75" customHeight="1">
      <c r="A3" s="458" t="s">
        <v>458</v>
      </c>
      <c r="B3" s="458"/>
      <c r="C3" s="458"/>
      <c r="D3" s="458"/>
      <c r="E3" s="458"/>
      <c r="F3" s="458"/>
    </row>
    <row r="4" spans="1:7" ht="15.75" customHeight="1">
      <c r="A4" s="458" t="s">
        <v>2</v>
      </c>
      <c r="B4" s="458"/>
      <c r="C4" s="458"/>
      <c r="D4" s="458"/>
      <c r="E4" s="458"/>
      <c r="F4" s="458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58" t="s">
        <v>1</v>
      </c>
      <c r="B3" s="458"/>
      <c r="C3" s="458"/>
      <c r="D3" s="458"/>
      <c r="E3" s="458"/>
      <c r="F3" s="458"/>
    </row>
    <row r="4" spans="1:7" ht="15" customHeight="1">
      <c r="A4" s="458" t="s">
        <v>457</v>
      </c>
      <c r="B4" s="458"/>
      <c r="C4" s="458"/>
      <c r="D4" s="458"/>
      <c r="E4" s="458"/>
      <c r="F4" s="458"/>
    </row>
    <row r="5" spans="1:7" ht="15" customHeight="1">
      <c r="A5" s="458" t="s">
        <v>2</v>
      </c>
      <c r="B5" s="458"/>
      <c r="C5" s="458"/>
      <c r="D5" s="458"/>
      <c r="E5" s="458"/>
      <c r="F5" s="458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58" t="s">
        <v>1</v>
      </c>
      <c r="B3" s="458"/>
      <c r="C3" s="458"/>
      <c r="D3" s="458"/>
      <c r="E3" s="458"/>
      <c r="F3" s="458"/>
    </row>
    <row r="4" spans="1:8" ht="14.25" customHeight="1">
      <c r="A4" s="458" t="s">
        <v>453</v>
      </c>
      <c r="B4" s="458"/>
      <c r="C4" s="458"/>
      <c r="D4" s="458"/>
      <c r="E4" s="458"/>
      <c r="F4" s="458"/>
    </row>
    <row r="5" spans="1:8" ht="18" customHeight="1">
      <c r="A5" s="458" t="s">
        <v>2</v>
      </c>
      <c r="B5" s="458"/>
      <c r="C5" s="458"/>
      <c r="D5" s="458"/>
      <c r="E5" s="458"/>
      <c r="F5" s="458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58" t="s">
        <v>1</v>
      </c>
      <c r="B3" s="458"/>
      <c r="C3" s="458"/>
      <c r="D3" s="458"/>
      <c r="E3" s="458"/>
      <c r="F3" s="458"/>
    </row>
    <row r="4" spans="1:7" ht="18" customHeight="1">
      <c r="A4" s="458" t="s">
        <v>450</v>
      </c>
      <c r="B4" s="458"/>
      <c r="C4" s="458"/>
      <c r="D4" s="458"/>
      <c r="E4" s="458"/>
      <c r="F4" s="458"/>
    </row>
    <row r="5" spans="1:7" ht="15.75">
      <c r="A5" s="458" t="s">
        <v>2</v>
      </c>
      <c r="B5" s="458"/>
      <c r="C5" s="458"/>
      <c r="D5" s="458"/>
      <c r="E5" s="458"/>
      <c r="F5" s="458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58" t="s">
        <v>1</v>
      </c>
      <c r="B3" s="458"/>
      <c r="C3" s="458"/>
      <c r="D3" s="458"/>
      <c r="E3" s="458"/>
      <c r="F3" s="458"/>
    </row>
    <row r="4" spans="1:7" ht="13.5" customHeight="1">
      <c r="A4" s="458" t="s">
        <v>444</v>
      </c>
      <c r="B4" s="458"/>
      <c r="C4" s="458"/>
      <c r="D4" s="458"/>
      <c r="E4" s="458"/>
      <c r="F4" s="458"/>
    </row>
    <row r="5" spans="1:7" ht="18" customHeight="1">
      <c r="A5" s="458" t="s">
        <v>2</v>
      </c>
      <c r="B5" s="458"/>
      <c r="C5" s="458"/>
      <c r="D5" s="458"/>
      <c r="E5" s="458"/>
      <c r="F5" s="458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58" t="s">
        <v>1</v>
      </c>
      <c r="B3" s="458"/>
      <c r="C3" s="458"/>
      <c r="D3" s="458"/>
      <c r="E3" s="458"/>
      <c r="F3" s="458"/>
    </row>
    <row r="4" spans="1:7" ht="15.75" customHeight="1">
      <c r="A4" s="458" t="s">
        <v>443</v>
      </c>
      <c r="B4" s="458"/>
      <c r="C4" s="458"/>
      <c r="D4" s="458"/>
      <c r="E4" s="458"/>
      <c r="F4" s="458"/>
    </row>
    <row r="5" spans="1:7" ht="18" customHeight="1">
      <c r="A5" s="458" t="s">
        <v>2</v>
      </c>
      <c r="B5" s="458"/>
      <c r="C5" s="458"/>
      <c r="D5" s="458"/>
      <c r="E5" s="458"/>
      <c r="F5" s="458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58" t="s">
        <v>1</v>
      </c>
      <c r="B3" s="458"/>
      <c r="C3" s="458"/>
      <c r="D3" s="458"/>
      <c r="E3" s="458"/>
      <c r="F3" s="458"/>
    </row>
    <row r="4" spans="1:7" ht="15" customHeight="1">
      <c r="A4" s="459" t="s">
        <v>415</v>
      </c>
      <c r="B4" s="458"/>
      <c r="C4" s="458"/>
      <c r="D4" s="458"/>
      <c r="E4" s="458"/>
      <c r="F4" s="458"/>
    </row>
    <row r="5" spans="1:7" ht="18" customHeight="1">
      <c r="A5" s="458" t="s">
        <v>2</v>
      </c>
      <c r="B5" s="458"/>
      <c r="C5" s="458"/>
      <c r="D5" s="458"/>
      <c r="E5" s="458"/>
      <c r="F5" s="458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60" t="s">
        <v>152</v>
      </c>
      <c r="F40" s="460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60" t="s">
        <v>413</v>
      </c>
      <c r="F46" s="460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C5" sqref="C5:G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58" t="s">
        <v>0</v>
      </c>
      <c r="D2" s="458"/>
      <c r="E2" s="458"/>
      <c r="F2" s="458"/>
      <c r="G2" s="458"/>
      <c r="H2" s="39"/>
    </row>
    <row r="3" spans="1:10" ht="15.75">
      <c r="C3" s="458" t="s">
        <v>66</v>
      </c>
      <c r="D3" s="458"/>
      <c r="E3" s="458"/>
      <c r="F3" s="458"/>
      <c r="G3" s="458"/>
      <c r="H3" s="39"/>
    </row>
    <row r="4" spans="1:10" ht="15.75">
      <c r="C4" s="458" t="s">
        <v>481</v>
      </c>
      <c r="D4" s="458"/>
      <c r="E4" s="458"/>
      <c r="F4" s="458"/>
      <c r="G4" s="458"/>
      <c r="H4" s="39"/>
      <c r="I4" s="39"/>
      <c r="J4" s="39"/>
    </row>
    <row r="5" spans="1:10" ht="15.75">
      <c r="C5" s="458" t="s">
        <v>2</v>
      </c>
      <c r="D5" s="458"/>
      <c r="E5" s="458"/>
      <c r="F5" s="458"/>
      <c r="G5" s="458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2025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15918732.999999996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4698888.5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20617621.539999995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17346425.029999994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17346425.029999994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37964046.569999993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228">
        <v>7317451.6500000004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412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412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413">
        <v>767824.7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413">
        <v>2070329.87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4105785.62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14261391.84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14261391.84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11599125.380000001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2">
        <f>'ERF SRS'!F28</f>
        <v>-9558246.5800000001</v>
      </c>
      <c r="F56" s="146"/>
    </row>
    <row r="57" spans="1:8">
      <c r="A57" s="134" t="s">
        <v>146</v>
      </c>
      <c r="C57" s="61"/>
      <c r="D57" s="61" t="s">
        <v>147</v>
      </c>
      <c r="E57" s="236">
        <v>21661775.890000001</v>
      </c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23702654.690000001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37964046.530000001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60" t="s">
        <v>152</v>
      </c>
      <c r="H66" s="460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60" t="s">
        <v>413</v>
      </c>
      <c r="H72" s="460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ignoredErrors>
    <ignoredError sqref="E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17" activePane="bottomRight" state="frozen"/>
      <selection pane="topRight" activeCell="D1" sqref="D1"/>
      <selection pane="bottomLeft" activeCell="A15" sqref="A15"/>
      <selection pane="bottomRight" activeCell="A5" sqref="A5:F5"/>
    </sheetView>
  </sheetViews>
  <sheetFormatPr baseColWidth="10" defaultRowHeight="15"/>
  <cols>
    <col min="1" max="1" width="14.28515625" style="430" customWidth="1"/>
    <col min="2" max="2" width="16.5703125" style="430" bestFit="1" customWidth="1"/>
    <col min="3" max="3" width="52.140625" style="430" bestFit="1" customWidth="1"/>
    <col min="4" max="4" width="14.85546875" style="435" bestFit="1" customWidth="1"/>
    <col min="5" max="5" width="14.28515625" style="435" bestFit="1" customWidth="1"/>
    <col min="6" max="6" width="17.7109375" style="430" customWidth="1"/>
    <col min="7" max="7" width="14.140625" style="430" bestFit="1" customWidth="1"/>
    <col min="8" max="16384" width="11.42578125" style="430"/>
  </cols>
  <sheetData>
    <row r="1" spans="1:7" ht="10.35" customHeight="1"/>
    <row r="2" spans="1:7" ht="26.1" customHeight="1">
      <c r="C2" s="431"/>
    </row>
    <row r="3" spans="1:7" ht="22.9" customHeight="1">
      <c r="A3" s="458" t="s">
        <v>1</v>
      </c>
      <c r="B3" s="458"/>
      <c r="C3" s="458"/>
      <c r="D3" s="458"/>
      <c r="E3" s="458"/>
      <c r="F3" s="458"/>
    </row>
    <row r="4" spans="1:7" ht="12.75" customHeight="1">
      <c r="A4" s="458" t="s">
        <v>480</v>
      </c>
      <c r="B4" s="458"/>
      <c r="C4" s="458"/>
      <c r="D4" s="458"/>
      <c r="E4" s="458"/>
      <c r="F4" s="458"/>
    </row>
    <row r="5" spans="1:7" ht="18" customHeight="1">
      <c r="A5" s="458" t="s">
        <v>2</v>
      </c>
      <c r="B5" s="458"/>
      <c r="C5" s="458"/>
      <c r="D5" s="458"/>
      <c r="E5" s="458"/>
      <c r="F5" s="458"/>
    </row>
    <row r="6" spans="1:7" ht="17.25" customHeight="1"/>
    <row r="7" spans="1:7">
      <c r="A7" s="404" t="s">
        <v>3</v>
      </c>
      <c r="B7" s="432" t="s">
        <v>4</v>
      </c>
      <c r="C7" s="432" t="s">
        <v>5</v>
      </c>
      <c r="D7" s="440" t="s">
        <v>6</v>
      </c>
      <c r="E7" s="441" t="s">
        <v>7</v>
      </c>
      <c r="F7" s="404" t="s">
        <v>8</v>
      </c>
    </row>
    <row r="8" spans="1:7" ht="15" customHeight="1">
      <c r="A8" s="430">
        <v>900.31000000005588</v>
      </c>
      <c r="B8" s="433" t="s">
        <v>11</v>
      </c>
      <c r="C8" s="433" t="s">
        <v>12</v>
      </c>
      <c r="D8" s="437">
        <v>0</v>
      </c>
      <c r="E8" s="436">
        <v>325</v>
      </c>
      <c r="F8" s="178">
        <f>A8+D8-E8</f>
        <v>575.31000000005588</v>
      </c>
    </row>
    <row r="9" spans="1:7" ht="15" customHeight="1">
      <c r="A9" s="430">
        <v>0</v>
      </c>
      <c r="B9" s="433" t="s">
        <v>416</v>
      </c>
      <c r="C9" s="433" t="s">
        <v>13</v>
      </c>
      <c r="D9" s="437">
        <v>30000</v>
      </c>
      <c r="E9" s="436">
        <v>30000</v>
      </c>
      <c r="F9" s="178">
        <f t="shared" ref="F9:F17" si="0">A9+D9-E9</f>
        <v>0</v>
      </c>
    </row>
    <row r="10" spans="1:7" ht="15" customHeight="1">
      <c r="A10" s="430">
        <v>1077.3400000021793</v>
      </c>
      <c r="B10" s="433" t="s">
        <v>14</v>
      </c>
      <c r="C10" s="433" t="s">
        <v>15</v>
      </c>
      <c r="D10" s="437">
        <v>0</v>
      </c>
      <c r="E10" s="436">
        <v>325</v>
      </c>
      <c r="F10" s="178">
        <f t="shared" si="0"/>
        <v>752.34000000217929</v>
      </c>
    </row>
    <row r="11" spans="1:7" ht="15" customHeight="1">
      <c r="A11" s="430">
        <v>25954661.18</v>
      </c>
      <c r="B11" s="433" t="s">
        <v>9</v>
      </c>
      <c r="C11" s="433" t="s">
        <v>10</v>
      </c>
      <c r="D11" s="437">
        <v>8280261.2999999998</v>
      </c>
      <c r="E11" s="436">
        <v>9019991.3499999996</v>
      </c>
      <c r="F11" s="178">
        <f t="shared" si="0"/>
        <v>25214931.129999995</v>
      </c>
      <c r="G11" s="439">
        <f>SUM(F8:F11)</f>
        <v>25216258.779999997</v>
      </c>
    </row>
    <row r="12" spans="1:7" ht="15" customHeight="1">
      <c r="B12" s="175" t="s">
        <v>16</v>
      </c>
      <c r="C12" s="351" t="s">
        <v>17</v>
      </c>
      <c r="D12" s="435">
        <v>4672718.8499999996</v>
      </c>
      <c r="E12" s="436"/>
      <c r="F12" s="178">
        <f t="shared" si="0"/>
        <v>4672718.8499999996</v>
      </c>
    </row>
    <row r="13" spans="1:7" ht="15" customHeight="1">
      <c r="B13" s="241" t="s">
        <v>18</v>
      </c>
      <c r="C13" s="352" t="s">
        <v>19</v>
      </c>
      <c r="D13" s="437"/>
      <c r="E13" s="436"/>
      <c r="F13" s="178">
        <f t="shared" si="0"/>
        <v>0</v>
      </c>
    </row>
    <row r="14" spans="1:7" ht="15" customHeight="1">
      <c r="A14" s="435">
        <v>1756259.9399999995</v>
      </c>
      <c r="B14" s="417" t="s">
        <v>20</v>
      </c>
      <c r="C14" s="353" t="s">
        <v>21</v>
      </c>
      <c r="D14" s="437"/>
      <c r="E14" s="436"/>
      <c r="F14" s="178">
        <f t="shared" si="0"/>
        <v>1756259.9399999995</v>
      </c>
    </row>
    <row r="15" spans="1:7" ht="15" customHeight="1">
      <c r="A15" s="435">
        <v>6070784.4100000001</v>
      </c>
      <c r="B15" s="417" t="s">
        <v>22</v>
      </c>
      <c r="C15" s="353" t="s">
        <v>23</v>
      </c>
      <c r="F15" s="178">
        <f t="shared" si="0"/>
        <v>6070784.4100000001</v>
      </c>
    </row>
    <row r="16" spans="1:7" ht="15" customHeight="1">
      <c r="A16" s="435">
        <v>7314572.2199999951</v>
      </c>
      <c r="B16" s="420" t="s">
        <v>24</v>
      </c>
      <c r="C16" s="420" t="s">
        <v>25</v>
      </c>
      <c r="D16" s="437"/>
      <c r="E16" s="436"/>
      <c r="F16" s="178">
        <f t="shared" si="0"/>
        <v>7314572.2199999951</v>
      </c>
    </row>
    <row r="17" spans="1:7" ht="15" customHeight="1">
      <c r="A17" s="435">
        <v>2482353.7299999995</v>
      </c>
      <c r="B17" s="241" t="s">
        <v>59</v>
      </c>
      <c r="C17" s="352" t="s">
        <v>60</v>
      </c>
      <c r="D17" s="437"/>
      <c r="E17" s="436"/>
      <c r="F17" s="178">
        <f t="shared" si="0"/>
        <v>2482353.7299999995</v>
      </c>
      <c r="G17" s="439">
        <f>SUM(F14:F17)</f>
        <v>17623970.299999993</v>
      </c>
    </row>
    <row r="18" spans="1:7" ht="15" customHeight="1">
      <c r="A18" s="435"/>
      <c r="B18" s="433" t="s">
        <v>423</v>
      </c>
      <c r="C18" s="433" t="s">
        <v>424</v>
      </c>
      <c r="D18" s="437">
        <v>271938.59999999998</v>
      </c>
      <c r="E18" s="436">
        <v>271938.59999999998</v>
      </c>
      <c r="F18" s="178">
        <f t="shared" ref="F18:F25" si="1">-(E18+A18-D18)</f>
        <v>0</v>
      </c>
    </row>
    <row r="19" spans="1:7" ht="15" customHeight="1">
      <c r="A19" s="435">
        <v>1897881.54</v>
      </c>
      <c r="B19" s="433" t="s">
        <v>28</v>
      </c>
      <c r="C19" s="433" t="s">
        <v>29</v>
      </c>
      <c r="D19" s="437">
        <v>6426858.0999999996</v>
      </c>
      <c r="E19" s="436">
        <v>7506262.6900000004</v>
      </c>
      <c r="F19" s="445">
        <f t="shared" si="1"/>
        <v>-2977286.1300000008</v>
      </c>
    </row>
    <row r="20" spans="1:7" ht="15" customHeight="1">
      <c r="A20" s="435">
        <v>7365064.21</v>
      </c>
      <c r="B20" s="433" t="s">
        <v>406</v>
      </c>
      <c r="C20" s="433" t="s">
        <v>407</v>
      </c>
      <c r="D20" s="437">
        <v>0</v>
      </c>
      <c r="E20" s="436">
        <v>763280.88</v>
      </c>
      <c r="F20" s="178">
        <f t="shared" si="1"/>
        <v>-8128345.0899999999</v>
      </c>
    </row>
    <row r="21" spans="1:7" ht="15" customHeight="1">
      <c r="A21" s="435">
        <v>1819140.09</v>
      </c>
      <c r="B21" s="433" t="s">
        <v>408</v>
      </c>
      <c r="C21" s="433" t="s">
        <v>409</v>
      </c>
      <c r="D21" s="437">
        <v>0</v>
      </c>
      <c r="E21" s="436">
        <v>125594.89</v>
      </c>
      <c r="F21" s="178">
        <f t="shared" si="1"/>
        <v>-1944734.98</v>
      </c>
    </row>
    <row r="22" spans="1:7" ht="15" customHeight="1">
      <c r="A22" s="435">
        <v>848594.65</v>
      </c>
      <c r="B22" s="433" t="s">
        <v>26</v>
      </c>
      <c r="C22" s="433" t="s">
        <v>27</v>
      </c>
      <c r="D22" s="437">
        <v>185098.84</v>
      </c>
      <c r="E22" s="436">
        <v>286809.03000000003</v>
      </c>
      <c r="F22" s="178">
        <f t="shared" si="1"/>
        <v>-950304.8400000002</v>
      </c>
    </row>
    <row r="23" spans="1:7" ht="15" customHeight="1">
      <c r="A23" s="435">
        <v>19799427.639999997</v>
      </c>
      <c r="B23" s="417" t="s">
        <v>61</v>
      </c>
      <c r="C23" s="417" t="s">
        <v>62</v>
      </c>
      <c r="D23" s="437"/>
      <c r="E23" s="436">
        <v>4672718.8499999903</v>
      </c>
      <c r="F23" s="178">
        <f t="shared" si="1"/>
        <v>-24472146.489999987</v>
      </c>
    </row>
    <row r="24" spans="1:7" ht="15" customHeight="1">
      <c r="A24" s="435">
        <v>11850501</v>
      </c>
      <c r="B24" s="173" t="s">
        <v>63</v>
      </c>
      <c r="C24" s="234" t="s">
        <v>64</v>
      </c>
      <c r="D24" s="437"/>
      <c r="E24" s="436"/>
      <c r="F24" s="178">
        <f t="shared" si="1"/>
        <v>-11850501</v>
      </c>
    </row>
    <row r="25" spans="1:7" ht="15" customHeight="1">
      <c r="A25" s="435"/>
      <c r="B25" s="433" t="s">
        <v>30</v>
      </c>
      <c r="C25" s="433" t="s">
        <v>31</v>
      </c>
      <c r="D25" s="437">
        <v>0</v>
      </c>
      <c r="E25" s="436">
        <v>8280261.2999999998</v>
      </c>
      <c r="F25" s="178">
        <f t="shared" si="1"/>
        <v>-8280261.2999999998</v>
      </c>
    </row>
    <row r="26" spans="1:7" ht="15" customHeight="1">
      <c r="B26" s="433" t="s">
        <v>36</v>
      </c>
      <c r="C26" s="433" t="s">
        <v>37</v>
      </c>
      <c r="D26" s="437">
        <v>287028.31</v>
      </c>
      <c r="E26" s="436">
        <v>0</v>
      </c>
      <c r="F26" s="444">
        <f>D26</f>
        <v>287028.31</v>
      </c>
    </row>
    <row r="27" spans="1:7" ht="15" customHeight="1">
      <c r="B27" s="433" t="s">
        <v>38</v>
      </c>
      <c r="C27" s="433" t="s">
        <v>39</v>
      </c>
      <c r="D27" s="437">
        <v>622150.54</v>
      </c>
      <c r="E27" s="436">
        <v>0</v>
      </c>
      <c r="F27" s="443">
        <f t="shared" ref="F27:F41" si="2">D27</f>
        <v>622150.54</v>
      </c>
    </row>
    <row r="28" spans="1:7" ht="15" customHeight="1">
      <c r="B28" s="433" t="s">
        <v>426</v>
      </c>
      <c r="C28" s="433" t="s">
        <v>427</v>
      </c>
      <c r="D28" s="437">
        <v>763280.88</v>
      </c>
      <c r="E28" s="436">
        <v>0</v>
      </c>
      <c r="F28" s="442">
        <f t="shared" si="2"/>
        <v>763280.88</v>
      </c>
    </row>
    <row r="29" spans="1:7" ht="15" customHeight="1">
      <c r="B29" s="433" t="s">
        <v>40</v>
      </c>
      <c r="C29" s="433" t="s">
        <v>41</v>
      </c>
      <c r="D29" s="437">
        <v>4005080.72</v>
      </c>
      <c r="E29" s="436">
        <v>0</v>
      </c>
      <c r="F29" s="444">
        <f t="shared" si="2"/>
        <v>4005080.72</v>
      </c>
    </row>
    <row r="30" spans="1:7" ht="15" customHeight="1">
      <c r="B30" s="433" t="s">
        <v>414</v>
      </c>
      <c r="C30" s="433" t="s">
        <v>42</v>
      </c>
      <c r="D30" s="437">
        <v>14153.99</v>
      </c>
      <c r="E30" s="436">
        <v>0</v>
      </c>
      <c r="F30" s="439">
        <f t="shared" si="2"/>
        <v>14153.99</v>
      </c>
    </row>
    <row r="31" spans="1:7" ht="15" customHeight="1">
      <c r="B31" s="433" t="s">
        <v>43</v>
      </c>
      <c r="C31" s="433" t="s">
        <v>44</v>
      </c>
      <c r="D31" s="437">
        <v>453834.55</v>
      </c>
      <c r="E31" s="436">
        <v>0</v>
      </c>
      <c r="F31" s="439">
        <f t="shared" si="2"/>
        <v>453834.55</v>
      </c>
    </row>
    <row r="32" spans="1:7" ht="15" customHeight="1">
      <c r="B32" s="433" t="s">
        <v>417</v>
      </c>
      <c r="C32" s="433" t="s">
        <v>418</v>
      </c>
      <c r="D32" s="437">
        <v>314329.24</v>
      </c>
      <c r="E32" s="436">
        <v>0</v>
      </c>
      <c r="F32" s="442">
        <f t="shared" si="2"/>
        <v>314329.24</v>
      </c>
    </row>
    <row r="33" spans="2:7" ht="15" customHeight="1">
      <c r="B33" s="433" t="s">
        <v>419</v>
      </c>
      <c r="C33" s="433" t="s">
        <v>420</v>
      </c>
      <c r="D33" s="437">
        <v>53126.04</v>
      </c>
      <c r="E33" s="436">
        <v>0</v>
      </c>
      <c r="F33" s="442">
        <f t="shared" si="2"/>
        <v>53126.04</v>
      </c>
    </row>
    <row r="34" spans="2:7" ht="15" customHeight="1">
      <c r="B34" s="433" t="s">
        <v>421</v>
      </c>
      <c r="C34" s="433" t="s">
        <v>422</v>
      </c>
      <c r="D34" s="437">
        <v>313886.5</v>
      </c>
      <c r="E34" s="436">
        <v>0</v>
      </c>
      <c r="F34" s="442">
        <f t="shared" si="2"/>
        <v>313886.5</v>
      </c>
    </row>
    <row r="35" spans="2:7">
      <c r="B35" s="433" t="s">
        <v>425</v>
      </c>
      <c r="C35" s="433" t="s">
        <v>33</v>
      </c>
      <c r="D35" s="437">
        <v>6900</v>
      </c>
      <c r="E35" s="436">
        <v>0</v>
      </c>
      <c r="F35" s="443">
        <f t="shared" si="2"/>
        <v>6900</v>
      </c>
    </row>
    <row r="36" spans="2:7" ht="15" customHeight="1">
      <c r="B36" s="433" t="s">
        <v>46</v>
      </c>
      <c r="C36" s="433" t="s">
        <v>47</v>
      </c>
      <c r="D36" s="437">
        <v>2328760.58</v>
      </c>
      <c r="E36" s="436">
        <v>0</v>
      </c>
      <c r="F36" s="444">
        <f t="shared" si="2"/>
        <v>2328760.58</v>
      </c>
      <c r="G36" s="439">
        <f>SUM(F36+F29+F26)</f>
        <v>6620869.6100000003</v>
      </c>
    </row>
    <row r="37" spans="2:7" ht="15" customHeight="1">
      <c r="B37" s="433" t="s">
        <v>34</v>
      </c>
      <c r="C37" s="433" t="s">
        <v>35</v>
      </c>
      <c r="D37" s="437">
        <v>125594.89</v>
      </c>
      <c r="E37" s="436">
        <v>0</v>
      </c>
      <c r="F37" s="442">
        <f t="shared" si="2"/>
        <v>125594.89</v>
      </c>
    </row>
    <row r="38" spans="2:7" ht="15" customHeight="1">
      <c r="B38" s="433" t="s">
        <v>445</v>
      </c>
      <c r="C38" s="433" t="s">
        <v>51</v>
      </c>
      <c r="D38" s="437">
        <v>3000</v>
      </c>
      <c r="E38" s="436">
        <v>0</v>
      </c>
      <c r="F38" s="443">
        <f t="shared" si="2"/>
        <v>3000</v>
      </c>
      <c r="G38" s="439">
        <f>SUM(F38+F35+F27)</f>
        <v>632050.54</v>
      </c>
    </row>
    <row r="39" spans="2:7">
      <c r="B39" s="433" t="s">
        <v>428</v>
      </c>
      <c r="C39" s="433" t="s">
        <v>429</v>
      </c>
      <c r="D39" s="437">
        <v>80000</v>
      </c>
      <c r="E39" s="436">
        <v>0</v>
      </c>
      <c r="F39" s="442">
        <f t="shared" si="2"/>
        <v>80000</v>
      </c>
    </row>
    <row r="40" spans="2:7" ht="15" customHeight="1">
      <c r="B40" s="433" t="s">
        <v>52</v>
      </c>
      <c r="C40" s="433" t="s">
        <v>53</v>
      </c>
      <c r="D40" s="437">
        <v>1709014.66</v>
      </c>
      <c r="E40" s="436">
        <v>0</v>
      </c>
      <c r="F40" s="442">
        <f t="shared" si="2"/>
        <v>1709014.66</v>
      </c>
    </row>
    <row r="41" spans="2:7" ht="15" customHeight="1">
      <c r="B41" s="433" t="s">
        <v>468</v>
      </c>
      <c r="C41" s="433" t="s">
        <v>469</v>
      </c>
      <c r="D41" s="437">
        <v>10491</v>
      </c>
      <c r="E41" s="436">
        <v>0</v>
      </c>
      <c r="F41" s="442">
        <f t="shared" si="2"/>
        <v>10491</v>
      </c>
      <c r="G41" s="439">
        <f>SUM(F41+F40+F39+F37+F34+F33+F32+F28)</f>
        <v>3369723.21</v>
      </c>
    </row>
    <row r="42" spans="2:7">
      <c r="B42" s="434" t="s">
        <v>57</v>
      </c>
      <c r="C42" s="434" t="s">
        <v>58</v>
      </c>
      <c r="D42" s="438">
        <f>SUM(D8:D41)</f>
        <v>30957507.589999992</v>
      </c>
      <c r="E42" s="438">
        <f>SUM(E8:E41)</f>
        <v>30957507.589999992</v>
      </c>
      <c r="F42" s="435">
        <f>SUM(F8:F41)</f>
        <v>-2.7939677238464355E-9</v>
      </c>
    </row>
    <row r="43" spans="2:7" ht="15.75" customHeight="1"/>
    <row r="45" spans="2:7">
      <c r="D45" s="435">
        <f>D42-E42</f>
        <v>0</v>
      </c>
      <c r="F45" s="439">
        <f>SUM(F26:F41)</f>
        <v>11090631.900000002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Impresion4/8/2025 9:19:18 AM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B1" workbookViewId="0">
      <selection activeCell="B6" sqref="B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 ht="15.75">
      <c r="A2" s="135"/>
      <c r="B2" s="61"/>
      <c r="C2" s="458" t="s">
        <v>0</v>
      </c>
      <c r="D2" s="458"/>
      <c r="E2" s="458"/>
      <c r="F2" s="458"/>
      <c r="G2" s="458"/>
      <c r="H2" s="458"/>
    </row>
    <row r="3" spans="1:10" ht="15.75">
      <c r="A3" s="135"/>
      <c r="B3" s="458" t="s">
        <v>153</v>
      </c>
      <c r="C3" s="458"/>
      <c r="D3" s="458"/>
      <c r="E3" s="458"/>
      <c r="F3" s="458"/>
      <c r="G3" s="458"/>
      <c r="H3" s="458"/>
    </row>
    <row r="4" spans="1:10" ht="15.75">
      <c r="A4" s="135"/>
      <c r="B4" s="458" t="s">
        <v>482</v>
      </c>
      <c r="C4" s="458"/>
      <c r="D4" s="458"/>
      <c r="E4" s="458"/>
      <c r="F4" s="458"/>
      <c r="G4" s="458"/>
      <c r="H4" s="458"/>
    </row>
    <row r="5" spans="1:10" ht="15.75">
      <c r="A5" s="135"/>
      <c r="B5" s="458" t="s">
        <v>2</v>
      </c>
      <c r="C5" s="458"/>
      <c r="D5" s="458"/>
      <c r="E5" s="458"/>
      <c r="F5" s="458"/>
      <c r="G5" s="458"/>
      <c r="H5" s="458"/>
    </row>
    <row r="6" spans="1:10">
      <c r="A6" s="135"/>
      <c r="B6" s="61"/>
      <c r="C6" s="61"/>
      <c r="D6" s="61"/>
      <c r="E6" s="61"/>
      <c r="F6" s="137"/>
      <c r="G6" s="138"/>
      <c r="H6" s="137">
        <f>+[2]ESF!H7</f>
        <v>2016</v>
      </c>
    </row>
    <row r="7" spans="1:10">
      <c r="A7" s="135"/>
      <c r="B7" s="61"/>
      <c r="C7" s="139" t="s">
        <v>154</v>
      </c>
      <c r="D7" s="140"/>
      <c r="E7" s="140"/>
      <c r="F7" s="137">
        <v>2025</v>
      </c>
      <c r="G7" s="141"/>
      <c r="H7" s="141"/>
      <c r="J7" s="80"/>
    </row>
    <row r="8" spans="1:10">
      <c r="A8" s="135" t="s">
        <v>155</v>
      </c>
      <c r="B8" s="61"/>
      <c r="C8" s="61"/>
      <c r="D8" s="61" t="s">
        <v>156</v>
      </c>
      <c r="E8" s="61"/>
      <c r="F8" s="142"/>
      <c r="G8" s="143"/>
      <c r="H8" s="142"/>
      <c r="J8" s="80"/>
    </row>
    <row r="9" spans="1:10">
      <c r="A9" s="135" t="s">
        <v>157</v>
      </c>
      <c r="B9" s="61"/>
      <c r="C9" s="61"/>
      <c r="D9" s="61" t="s">
        <v>158</v>
      </c>
      <c r="E9" s="61"/>
      <c r="F9" s="142">
        <v>481307.58</v>
      </c>
      <c r="G9" s="143"/>
      <c r="H9" s="142"/>
      <c r="J9" s="80"/>
    </row>
    <row r="10" spans="1:10">
      <c r="A10" s="135" t="s">
        <v>159</v>
      </c>
      <c r="B10" s="61"/>
      <c r="C10" s="61"/>
      <c r="D10" s="61" t="s">
        <v>160</v>
      </c>
      <c r="E10" s="61"/>
      <c r="F10" s="142"/>
      <c r="G10" s="143"/>
      <c r="H10" s="142"/>
      <c r="J10" s="80"/>
    </row>
    <row r="11" spans="1:10">
      <c r="A11" s="135" t="s">
        <v>161</v>
      </c>
      <c r="B11" s="61"/>
      <c r="C11" s="61"/>
      <c r="D11" s="61" t="s">
        <v>162</v>
      </c>
      <c r="E11" s="61"/>
      <c r="F11" s="144"/>
      <c r="G11" s="143"/>
      <c r="H11" s="142"/>
      <c r="J11" s="80"/>
    </row>
    <row r="12" spans="1:10">
      <c r="A12" s="135"/>
      <c r="B12" s="61"/>
      <c r="C12" s="139" t="s">
        <v>163</v>
      </c>
      <c r="D12" s="61"/>
      <c r="E12" s="61"/>
      <c r="F12" s="145">
        <f>SUM(F8:F11)</f>
        <v>481307.58</v>
      </c>
      <c r="G12" s="143"/>
      <c r="H12" s="145">
        <f>SUM(H8:H11)</f>
        <v>0</v>
      </c>
      <c r="J12" s="80"/>
    </row>
    <row r="13" spans="1:10">
      <c r="A13" s="135"/>
      <c r="B13" s="61"/>
      <c r="C13" s="61"/>
      <c r="D13" s="61" t="s">
        <v>102</v>
      </c>
      <c r="E13" s="61"/>
      <c r="F13" s="146"/>
      <c r="G13" s="146"/>
      <c r="H13" s="146"/>
    </row>
    <row r="14" spans="1:10">
      <c r="A14" s="135"/>
      <c r="B14" s="61"/>
      <c r="C14" s="139" t="s">
        <v>164</v>
      </c>
      <c r="D14" s="61"/>
      <c r="E14" s="61"/>
      <c r="F14" s="147"/>
      <c r="G14" s="147"/>
      <c r="H14" s="147"/>
      <c r="J14" s="80"/>
    </row>
    <row r="15" spans="1:10">
      <c r="A15" s="135" t="s">
        <v>165</v>
      </c>
      <c r="B15" s="61"/>
      <c r="C15" s="61"/>
      <c r="D15" s="61" t="s">
        <v>166</v>
      </c>
      <c r="E15" s="61"/>
      <c r="F15" s="227">
        <v>2383690.1799999997</v>
      </c>
      <c r="G15" s="146"/>
      <c r="H15" s="146"/>
      <c r="J15" s="80"/>
    </row>
    <row r="16" spans="1:10">
      <c r="A16" s="135" t="s">
        <v>167</v>
      </c>
      <c r="B16" s="61"/>
      <c r="C16" s="61"/>
      <c r="D16" s="61" t="s">
        <v>168</v>
      </c>
      <c r="E16" s="61"/>
      <c r="F16" s="227"/>
      <c r="G16" s="147"/>
      <c r="H16" s="146"/>
      <c r="J16" s="80"/>
    </row>
    <row r="17" spans="1:13">
      <c r="A17" s="135" t="s">
        <v>169</v>
      </c>
      <c r="B17" s="61"/>
      <c r="C17" s="61"/>
      <c r="D17" s="61" t="s">
        <v>170</v>
      </c>
      <c r="E17" s="61"/>
      <c r="F17" s="228">
        <v>7027107.2400000002</v>
      </c>
      <c r="G17" s="147"/>
      <c r="H17" s="146"/>
      <c r="J17" s="80"/>
      <c r="K17" s="155"/>
      <c r="M17" s="156"/>
    </row>
    <row r="18" spans="1:13">
      <c r="A18" s="135" t="s">
        <v>171</v>
      </c>
      <c r="B18" s="61"/>
      <c r="C18" s="61"/>
      <c r="D18" s="61" t="s">
        <v>172</v>
      </c>
      <c r="E18" s="61"/>
      <c r="F18" s="228"/>
      <c r="G18" s="147"/>
      <c r="H18" s="146"/>
      <c r="J18" s="282"/>
    </row>
    <row r="19" spans="1:13">
      <c r="A19" s="135" t="s">
        <v>173</v>
      </c>
      <c r="B19" s="61"/>
      <c r="C19" s="61"/>
      <c r="D19" s="61" t="s">
        <v>174</v>
      </c>
      <c r="E19" s="61"/>
      <c r="F19" s="227">
        <v>494886.43</v>
      </c>
      <c r="G19" s="147"/>
      <c r="H19" s="146"/>
      <c r="J19" s="80"/>
    </row>
    <row r="20" spans="1:13">
      <c r="A20" s="135" t="s">
        <v>175</v>
      </c>
      <c r="B20" s="61"/>
      <c r="C20" s="61"/>
      <c r="D20" s="61" t="s">
        <v>176</v>
      </c>
      <c r="E20" s="61"/>
      <c r="F20" s="228">
        <v>118102.96</v>
      </c>
      <c r="G20" s="147"/>
      <c r="H20" s="144"/>
      <c r="I20" s="80"/>
      <c r="J20" s="80"/>
      <c r="K20" s="155"/>
      <c r="M20" s="156"/>
    </row>
    <row r="21" spans="1:13">
      <c r="A21" s="135" t="s">
        <v>177</v>
      </c>
      <c r="B21" s="61"/>
      <c r="C21" s="61"/>
      <c r="D21" s="61" t="s">
        <v>178</v>
      </c>
      <c r="E21" s="61"/>
      <c r="F21" s="178">
        <v>15767.35</v>
      </c>
      <c r="G21" s="147"/>
      <c r="H21" s="146" t="e">
        <f>SUMIF([2]BC!B:B,[2]ERF!A22,[2]BC!G:G)</f>
        <v>#VALUE!</v>
      </c>
      <c r="J21" s="80"/>
    </row>
    <row r="22" spans="1:13">
      <c r="A22" s="135"/>
      <c r="B22" s="61"/>
      <c r="C22" s="139" t="s">
        <v>179</v>
      </c>
      <c r="D22" s="61"/>
      <c r="E22" s="61"/>
      <c r="F22" s="145">
        <f>SUM(F15:F21)</f>
        <v>10039554.16</v>
      </c>
      <c r="G22" s="143"/>
      <c r="H22" s="145" t="e">
        <f>SUM(H15:H21)</f>
        <v>#VALUE!</v>
      </c>
      <c r="I22" s="80"/>
      <c r="J22" s="80"/>
    </row>
    <row r="23" spans="1:13">
      <c r="A23" s="135"/>
      <c r="B23" s="61"/>
      <c r="C23" s="148"/>
      <c r="D23" s="61"/>
      <c r="E23" s="61"/>
      <c r="F23" s="146"/>
      <c r="G23" s="146"/>
      <c r="H23" s="146"/>
      <c r="J23" s="80"/>
    </row>
    <row r="24" spans="1:13">
      <c r="A24" s="135" t="s">
        <v>180</v>
      </c>
      <c r="B24" s="61"/>
      <c r="C24" s="61"/>
      <c r="D24" s="61" t="s">
        <v>181</v>
      </c>
      <c r="E24" s="61"/>
      <c r="F24" s="146">
        <v>0</v>
      </c>
      <c r="G24" s="147"/>
      <c r="H24" s="146">
        <v>0</v>
      </c>
      <c r="J24" s="80"/>
    </row>
    <row r="25" spans="1:13">
      <c r="A25" s="135"/>
      <c r="B25" s="61"/>
      <c r="C25" s="61"/>
      <c r="D25" s="61"/>
      <c r="E25" s="61"/>
      <c r="F25" s="146"/>
      <c r="G25" s="147"/>
      <c r="H25" s="146"/>
      <c r="J25" s="80"/>
    </row>
    <row r="26" spans="1:13">
      <c r="A26" s="135" t="s">
        <v>182</v>
      </c>
      <c r="B26" s="61"/>
      <c r="C26" s="61"/>
      <c r="D26" s="61" t="s">
        <v>183</v>
      </c>
      <c r="E26" s="61"/>
      <c r="F26" s="142">
        <v>0</v>
      </c>
      <c r="G26" s="147"/>
      <c r="H26" s="142">
        <v>0</v>
      </c>
      <c r="J26" s="80"/>
    </row>
    <row r="27" spans="1:13">
      <c r="A27" s="135"/>
      <c r="B27" s="61"/>
      <c r="C27" s="61"/>
      <c r="D27" s="61"/>
      <c r="E27" s="61"/>
      <c r="F27" s="142"/>
      <c r="G27" s="147"/>
      <c r="H27" s="142"/>
    </row>
    <row r="28" spans="1:13">
      <c r="A28" s="135"/>
      <c r="B28" s="61"/>
      <c r="C28" s="139" t="s">
        <v>145</v>
      </c>
      <c r="D28" s="61"/>
      <c r="E28" s="61"/>
      <c r="F28" s="149">
        <f>+F12-F22+F24+F26</f>
        <v>-9558246.5800000001</v>
      </c>
      <c r="G28" s="143"/>
      <c r="H28" s="149" t="e">
        <f>+H12-H22+H24+H26</f>
        <v>#VALUE!</v>
      </c>
      <c r="J28" s="80"/>
    </row>
    <row r="29" spans="1:13">
      <c r="A29" s="135"/>
      <c r="B29" s="61"/>
      <c r="C29" s="139"/>
      <c r="D29" s="61"/>
      <c r="E29" s="61"/>
      <c r="F29" s="146"/>
      <c r="G29" s="146"/>
      <c r="H29" s="146"/>
    </row>
    <row r="30" spans="1:13">
      <c r="A30" s="135"/>
      <c r="B30" s="61"/>
      <c r="C30" s="148" t="s">
        <v>184</v>
      </c>
      <c r="D30" s="61"/>
      <c r="E30" s="61"/>
      <c r="F30" s="146"/>
      <c r="G30" s="146"/>
      <c r="H30" s="146"/>
      <c r="J30" s="80"/>
    </row>
    <row r="31" spans="1:13">
      <c r="A31" s="135" t="s">
        <v>185</v>
      </c>
      <c r="B31" s="61"/>
      <c r="C31" s="139"/>
      <c r="D31" s="61" t="s">
        <v>186</v>
      </c>
      <c r="E31" s="61"/>
      <c r="F31" s="146">
        <v>0</v>
      </c>
      <c r="G31" s="147"/>
      <c r="H31" s="146">
        <v>0</v>
      </c>
      <c r="J31" s="80"/>
    </row>
    <row r="32" spans="1:13">
      <c r="A32" s="135" t="s">
        <v>187</v>
      </c>
      <c r="B32" s="61"/>
      <c r="C32" s="61"/>
      <c r="D32" s="61" t="s">
        <v>188</v>
      </c>
      <c r="E32" s="61"/>
      <c r="F32" s="144">
        <v>0</v>
      </c>
      <c r="G32" s="147"/>
      <c r="H32" s="144">
        <v>0</v>
      </c>
      <c r="J32" s="80"/>
    </row>
    <row r="33" spans="1:10">
      <c r="A33" s="135"/>
      <c r="B33" s="61"/>
      <c r="C33" s="139"/>
      <c r="D33" s="61"/>
      <c r="E33" s="61"/>
      <c r="F33" s="149">
        <f>SUM(F31:F32)</f>
        <v>0</v>
      </c>
      <c r="G33" s="150"/>
      <c r="H33" s="149">
        <f>SUM(H31:H32)</f>
        <v>0</v>
      </c>
      <c r="J33" s="80"/>
    </row>
    <row r="34" spans="1:10">
      <c r="A34" s="135"/>
      <c r="B34" s="61"/>
      <c r="C34" s="139"/>
      <c r="D34" s="61"/>
      <c r="E34" s="61"/>
      <c r="F34" s="146"/>
      <c r="G34" s="146"/>
      <c r="H34" s="146"/>
    </row>
    <row r="35" spans="1:10">
      <c r="D35" s="199"/>
      <c r="G35" s="152"/>
      <c r="H35" s="153"/>
    </row>
    <row r="36" spans="1:10" ht="15.75">
      <c r="D36" s="151" t="s">
        <v>411</v>
      </c>
      <c r="E36" s="172"/>
      <c r="G36" s="460"/>
      <c r="H36" s="460"/>
    </row>
    <row r="37" spans="1:10">
      <c r="E37" s="80"/>
      <c r="H37" s="77"/>
    </row>
    <row r="38" spans="1:10">
      <c r="G38" s="152"/>
      <c r="H38" s="153"/>
    </row>
    <row r="39" spans="1:10">
      <c r="D39" s="200" t="s">
        <v>412</v>
      </c>
      <c r="G39" s="460"/>
      <c r="H39" s="460"/>
    </row>
    <row r="40" spans="1:10">
      <c r="H40" s="77"/>
    </row>
    <row r="41" spans="1:10">
      <c r="D41" s="154"/>
      <c r="E41" s="461"/>
      <c r="F41" s="461"/>
      <c r="G41" s="461"/>
      <c r="H41" s="461"/>
    </row>
    <row r="42" spans="1:10">
      <c r="D42" s="199"/>
      <c r="E42" s="153"/>
      <c r="H42" s="77"/>
    </row>
    <row r="43" spans="1:10">
      <c r="D43" s="460" t="s">
        <v>152</v>
      </c>
      <c r="E43" s="460"/>
    </row>
    <row r="44" spans="1:10">
      <c r="E44" s="77"/>
    </row>
    <row r="45" spans="1:10">
      <c r="D45" s="199"/>
      <c r="E45" s="153"/>
    </row>
    <row r="46" spans="1:10">
      <c r="D46" s="460" t="s">
        <v>413</v>
      </c>
      <c r="E46" s="460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ignoredErrors>
    <ignoredError sqref="F12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62" t="s">
        <v>0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283"/>
      <c r="M2" s="127"/>
    </row>
    <row r="3" spans="1:16" s="118" customFormat="1">
      <c r="A3" s="463" t="s">
        <v>189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283"/>
      <c r="M3" s="127"/>
    </row>
    <row r="4" spans="1:16" s="118" customFormat="1">
      <c r="A4" s="462" t="s">
        <v>483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283"/>
      <c r="M4" s="127"/>
    </row>
    <row r="5" spans="1:16" s="118" customFormat="1">
      <c r="A5" s="462" t="s">
        <v>449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28419488</v>
      </c>
      <c r="D9" s="249"/>
      <c r="E9" s="251">
        <f>F24+F25+F27+F29+F31+F28+F32+F30</f>
        <v>10783753.289999999</v>
      </c>
      <c r="F9" s="359"/>
      <c r="G9" s="253"/>
      <c r="H9" s="253"/>
      <c r="I9" s="252"/>
      <c r="J9" s="249"/>
      <c r="K9" s="254">
        <f>+C9+E9+F9</f>
        <v>39203241.289999999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4018043.54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5690281.2400000002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32437531.539999999</v>
      </c>
      <c r="D11" s="249"/>
      <c r="E11" s="258">
        <f>SUM(E9:E10)</f>
        <v>12455990.989999998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44893522.530000001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23529057.960000001</v>
      </c>
      <c r="D14" s="249"/>
      <c r="E14" s="261"/>
      <c r="F14" s="252"/>
      <c r="G14" s="253"/>
      <c r="H14" s="253"/>
      <c r="I14" s="252"/>
      <c r="J14" s="252"/>
      <c r="K14" s="254">
        <f>+C14+E14+G14</f>
        <v>23529057.960000001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4018039.54</v>
      </c>
      <c r="D15" s="249"/>
      <c r="E15" s="261"/>
      <c r="F15" s="252"/>
      <c r="G15" s="253"/>
      <c r="H15" s="253"/>
      <c r="I15" s="252"/>
      <c r="J15" s="252"/>
      <c r="K15" s="254">
        <f>+C15+E15</f>
        <v>4018039.54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27547097.5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27547097.5</v>
      </c>
      <c r="L16" s="283"/>
      <c r="M16" s="129"/>
      <c r="N16" s="132"/>
    </row>
    <row r="17" spans="1:14" s="118" customFormat="1" ht="12" thickBot="1">
      <c r="A17" s="464" t="s">
        <v>200</v>
      </c>
      <c r="B17" s="464"/>
      <c r="C17" s="263">
        <f>+C11-C16</f>
        <v>4890434.0399999991</v>
      </c>
      <c r="D17" s="264"/>
      <c r="E17" s="263">
        <f>+E11-E16</f>
        <v>12455990.989999998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17346425.030000001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17346425.029999994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4018043.54</v>
      </c>
      <c r="F23" s="177">
        <f>1600707.7+71530</f>
        <v>1672237.7</v>
      </c>
      <c r="G23" s="125">
        <v>4018039.54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2588958.2199999997</v>
      </c>
      <c r="F24" s="177">
        <v>89750</v>
      </c>
      <c r="G24" s="126">
        <v>925896.39</v>
      </c>
      <c r="H24" s="125"/>
      <c r="I24" s="181">
        <f>E24-G24</f>
        <v>1663061.8299999996</v>
      </c>
      <c r="K24" s="182">
        <f t="shared" ref="K24:K32" si="0">E24+F24-G24</f>
        <v>1752811.8299999996</v>
      </c>
    </row>
    <row r="25" spans="1:14" ht="12">
      <c r="B25" s="119" t="s">
        <v>206</v>
      </c>
      <c r="E25" s="181">
        <v>2076305.56</v>
      </c>
      <c r="F25" s="177">
        <v>89794.01</v>
      </c>
      <c r="G25" s="125">
        <v>2007775.63</v>
      </c>
      <c r="H25" s="125"/>
      <c r="I25" s="181">
        <f>E25-G25</f>
        <v>68529.930000000168</v>
      </c>
      <c r="K25" s="192">
        <f t="shared" si="0"/>
        <v>158323.93999999994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26">
        <v>23754224.219999999</v>
      </c>
      <c r="F27" s="125">
        <f>4013179.8+304126.68+128242.4</f>
        <v>4445548.88</v>
      </c>
      <c r="G27" s="125">
        <v>20595385.940000001</v>
      </c>
      <c r="H27" s="125"/>
      <c r="I27" s="181">
        <f>E27-G27</f>
        <v>3158838.2799999975</v>
      </c>
      <c r="K27" s="122">
        <f t="shared" si="0"/>
        <v>7604387.1599999964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6139314.3399999999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1930481.8299999996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32437531.539999999</v>
      </c>
      <c r="F33" s="122">
        <f>SUM(F23:F32)</f>
        <v>12455990.99</v>
      </c>
      <c r="G33" s="122">
        <f>SUM(G23:G32)</f>
        <v>27547097.5</v>
      </c>
      <c r="I33" s="126">
        <f>SUM(I23:I32)</f>
        <v>4890434.0399999972</v>
      </c>
      <c r="K33" s="122">
        <f>SUM(K23:K32)</f>
        <v>17346425.029999994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5">
        <v>1684765.54</v>
      </c>
      <c r="J40" s="126"/>
      <c r="K40" s="181">
        <v>3</v>
      </c>
      <c r="L40" s="126">
        <f t="shared" ref="L40:L52" si="2">SUM(I40+K40)</f>
        <v>1684768.54</v>
      </c>
    </row>
    <row r="41" spans="2:12">
      <c r="E41" s="122"/>
      <c r="I41" s="126"/>
      <c r="J41" s="126"/>
      <c r="K41" s="126"/>
      <c r="L41" s="126">
        <f>SUM(I41+K41)</f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4018039.54</v>
      </c>
      <c r="J53" s="126"/>
      <c r="K53" s="126"/>
      <c r="L53" s="126">
        <f>SUM(L39:L52)</f>
        <v>4018043.54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I57" s="126"/>
      <c r="K57" s="126"/>
    </row>
    <row r="59" spans="9:12">
      <c r="I59" s="122"/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A13" sqref="A13:D18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5" ht="15.75">
      <c r="B3" s="465" t="str">
        <f>+[2]ESF!C2</f>
        <v>Entidad Modelo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</row>
    <row r="4" spans="1:15" ht="15.75">
      <c r="B4" s="465" t="s">
        <v>214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</row>
    <row r="5" spans="1:15" ht="15.75">
      <c r="A5" s="465" t="s">
        <v>405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</row>
    <row r="6" spans="1:15" ht="15.75">
      <c r="B6" s="465" t="s">
        <v>2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A13" sqref="A13:D1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65" t="str">
        <f>+[2]ESF!C2</f>
        <v>Entidad Modelo</v>
      </c>
      <c r="D2" s="465"/>
      <c r="E2" s="465"/>
      <c r="F2" s="465"/>
      <c r="G2" s="465"/>
      <c r="H2" s="465"/>
    </row>
    <row r="3" spans="2:16" ht="15.75">
      <c r="C3" s="465" t="s">
        <v>228</v>
      </c>
      <c r="D3" s="465"/>
      <c r="E3" s="465"/>
      <c r="F3" s="465"/>
      <c r="G3" s="465"/>
      <c r="H3" s="465"/>
    </row>
    <row r="4" spans="2:16" ht="15.75">
      <c r="B4" s="458" t="s">
        <v>410</v>
      </c>
      <c r="C4" s="458"/>
      <c r="D4" s="458"/>
      <c r="E4" s="458"/>
      <c r="F4" s="458"/>
      <c r="G4" s="458"/>
      <c r="H4" s="458"/>
      <c r="I4" s="458"/>
      <c r="J4" s="107"/>
      <c r="K4" s="107"/>
      <c r="L4" s="107"/>
      <c r="M4" s="107"/>
      <c r="N4" s="107"/>
      <c r="O4" s="107"/>
      <c r="P4" s="107"/>
    </row>
    <row r="5" spans="2:16" ht="15.75">
      <c r="C5" s="465" t="s">
        <v>2</v>
      </c>
      <c r="D5" s="465"/>
      <c r="E5" s="465"/>
      <c r="F5" s="465"/>
      <c r="G5" s="465"/>
      <c r="H5" s="465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activeCell="A13" sqref="A13:D18"/>
      <selection pane="bottomLeft" activeCell="B4" sqref="B4:C4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58" t="s">
        <v>0</v>
      </c>
      <c r="C1" s="458"/>
      <c r="D1" s="39"/>
      <c r="E1" s="39"/>
      <c r="F1" s="39"/>
      <c r="G1" s="39"/>
    </row>
    <row r="2" spans="1:12" ht="18.75">
      <c r="B2" s="466" t="s">
        <v>275</v>
      </c>
      <c r="C2" s="466"/>
      <c r="D2" s="40"/>
    </row>
    <row r="3" spans="1:12" ht="15.75">
      <c r="B3" s="458" t="s">
        <v>484</v>
      </c>
      <c r="C3" s="459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66" t="s">
        <v>2</v>
      </c>
      <c r="C4" s="466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>
        <v>30000</v>
      </c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250.31000000005588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15888055.349999994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427.34000000217929</v>
      </c>
      <c r="D21" s="67"/>
    </row>
    <row r="22" spans="1:9" ht="15.75">
      <c r="A22" s="69"/>
      <c r="B22" s="65" t="s">
        <v>298</v>
      </c>
      <c r="C22" s="14">
        <f>SUM(C8:C21)</f>
        <v>15918732.999999996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15918732.999999996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58" t="s">
        <v>0</v>
      </c>
      <c r="B3" s="458"/>
    </row>
    <row r="4" spans="1:2" ht="18.75">
      <c r="A4" s="466" t="s">
        <v>309</v>
      </c>
      <c r="B4" s="466"/>
    </row>
    <row r="5" spans="1:2">
      <c r="A5" s="467" t="s">
        <v>485</v>
      </c>
      <c r="B5" s="467"/>
    </row>
    <row r="6" spans="1:2" ht="18.75">
      <c r="A6" s="466" t="s">
        <v>2</v>
      </c>
      <c r="B6" s="466"/>
    </row>
    <row r="8" spans="1:2">
      <c r="A8" s="54"/>
    </row>
    <row r="10" spans="1:2" ht="15" customHeight="1">
      <c r="A10" s="468" t="s">
        <v>310</v>
      </c>
      <c r="B10" s="471" t="s">
        <v>278</v>
      </c>
    </row>
    <row r="11" spans="1:2" ht="15" customHeight="1">
      <c r="A11" s="469"/>
      <c r="B11" s="472"/>
    </row>
    <row r="12" spans="1:2" ht="15.75" customHeight="1">
      <c r="A12" s="470"/>
      <c r="B12" s="473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horizontalDpi="4294967293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A7" sqref="A7:B7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58" t="s">
        <v>0</v>
      </c>
      <c r="B4" s="458"/>
    </row>
    <row r="5" spans="1:4" ht="18.75">
      <c r="A5" s="466" t="s">
        <v>317</v>
      </c>
      <c r="B5" s="466"/>
    </row>
    <row r="6" spans="1:4">
      <c r="A6" s="467" t="s">
        <v>486</v>
      </c>
      <c r="B6" s="467"/>
    </row>
    <row r="7" spans="1:4" ht="18.75">
      <c r="A7" s="466" t="s">
        <v>2</v>
      </c>
      <c r="B7" s="466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4698888.5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4698888.5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58" t="s">
        <v>0</v>
      </c>
      <c r="B4" s="458"/>
    </row>
    <row r="5" spans="1:3" ht="18.75">
      <c r="A5" s="466" t="s">
        <v>323</v>
      </c>
      <c r="B5" s="466"/>
    </row>
    <row r="6" spans="1:3">
      <c r="A6" s="467" t="s">
        <v>487</v>
      </c>
      <c r="B6" s="467"/>
    </row>
    <row r="7" spans="1:3" ht="18.75">
      <c r="A7" s="466" t="s">
        <v>2</v>
      </c>
      <c r="B7" s="466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7317451.6500000004</v>
      </c>
    </row>
    <row r="13" spans="1:3" ht="15" customHeight="1">
      <c r="A13" s="28" t="s">
        <v>325</v>
      </c>
      <c r="B13" s="34">
        <f>+B12</f>
        <v>7317451.6500000004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6" sqref="A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58" t="s">
        <v>0</v>
      </c>
      <c r="B3" s="458"/>
      <c r="C3" s="458"/>
      <c r="D3" s="458"/>
      <c r="E3" s="39"/>
    </row>
    <row r="4" spans="1:5" ht="18.75">
      <c r="A4" s="466" t="s">
        <v>326</v>
      </c>
      <c r="B4" s="466"/>
      <c r="C4" s="466"/>
      <c r="D4" s="466"/>
      <c r="E4" s="40"/>
    </row>
    <row r="5" spans="1:5" ht="18.75">
      <c r="A5" s="467" t="s">
        <v>488</v>
      </c>
      <c r="B5" s="474"/>
      <c r="C5" s="474"/>
      <c r="D5" s="474"/>
      <c r="E5" s="40"/>
    </row>
    <row r="6" spans="1:5" ht="18.75">
      <c r="B6" s="466" t="s">
        <v>2</v>
      </c>
      <c r="C6" s="466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767824.7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480">
        <v>4105785.62</v>
      </c>
    </row>
    <row r="17" spans="2:3" ht="15.75">
      <c r="B17" s="186" t="s">
        <v>409</v>
      </c>
      <c r="C17" s="37">
        <v>2070329.87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6943940.1900000004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horizontalDpi="4294967293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58" t="s">
        <v>0</v>
      </c>
      <c r="B1" s="458"/>
    </row>
    <row r="2" spans="1:4" ht="18.75">
      <c r="A2" s="466" t="s">
        <v>336</v>
      </c>
      <c r="B2" s="466"/>
    </row>
    <row r="3" spans="1:4">
      <c r="A3" s="467" t="s">
        <v>475</v>
      </c>
      <c r="B3" s="474"/>
      <c r="C3" s="188"/>
      <c r="D3" s="188"/>
    </row>
    <row r="4" spans="1:4" ht="18.75">
      <c r="A4" s="466" t="s">
        <v>2</v>
      </c>
      <c r="B4" s="466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A5" sqref="A5:F5"/>
    </sheetView>
  </sheetViews>
  <sheetFormatPr baseColWidth="10" defaultRowHeight="15"/>
  <cols>
    <col min="1" max="1" width="14.140625" style="423" bestFit="1" customWidth="1"/>
    <col min="2" max="2" width="12.28515625" style="418" customWidth="1"/>
    <col min="3" max="3" width="52.140625" style="418" bestFit="1" customWidth="1"/>
    <col min="4" max="5" width="13.85546875" style="423" bestFit="1" customWidth="1"/>
    <col min="6" max="6" width="13.140625" style="418" bestFit="1" customWidth="1"/>
    <col min="7" max="7" width="14.140625" style="418" bestFit="1" customWidth="1"/>
    <col min="8" max="16384" width="11.42578125" style="418"/>
  </cols>
  <sheetData>
    <row r="1" spans="1:7" ht="16.5" customHeight="1"/>
    <row r="2" spans="1:7" ht="16.5" customHeight="1">
      <c r="C2" s="422"/>
    </row>
    <row r="3" spans="1:7" ht="16.5" customHeight="1">
      <c r="A3" s="458" t="s">
        <v>1</v>
      </c>
      <c r="B3" s="458"/>
      <c r="C3" s="458"/>
      <c r="D3" s="458"/>
      <c r="E3" s="458"/>
      <c r="F3" s="458"/>
    </row>
    <row r="4" spans="1:7" ht="16.5" customHeight="1">
      <c r="A4" s="458" t="s">
        <v>479</v>
      </c>
      <c r="B4" s="458"/>
      <c r="C4" s="458"/>
      <c r="D4" s="458"/>
      <c r="E4" s="458"/>
      <c r="F4" s="458"/>
    </row>
    <row r="5" spans="1:7" ht="16.5" customHeight="1">
      <c r="A5" s="458" t="s">
        <v>2</v>
      </c>
      <c r="B5" s="458"/>
      <c r="C5" s="458"/>
      <c r="D5" s="458"/>
      <c r="E5" s="458"/>
      <c r="F5" s="458"/>
    </row>
    <row r="6" spans="1:7" ht="16.5" customHeight="1"/>
    <row r="7" spans="1:7" ht="16.5" customHeight="1">
      <c r="A7" s="404" t="s">
        <v>3</v>
      </c>
      <c r="B7" s="419" t="s">
        <v>4</v>
      </c>
      <c r="C7" s="419" t="s">
        <v>5</v>
      </c>
      <c r="D7" s="424" t="s">
        <v>6</v>
      </c>
      <c r="E7" s="424" t="s">
        <v>7</v>
      </c>
      <c r="F7" s="404" t="s">
        <v>8</v>
      </c>
    </row>
    <row r="8" spans="1:7" ht="16.5" customHeight="1">
      <c r="A8" s="423">
        <v>1225.3100000000559</v>
      </c>
      <c r="B8" s="420" t="s">
        <v>11</v>
      </c>
      <c r="C8" s="420" t="s">
        <v>12</v>
      </c>
      <c r="D8" s="426">
        <v>0</v>
      </c>
      <c r="E8" s="426">
        <v>325</v>
      </c>
      <c r="F8" s="178">
        <f>A8+D8-E8</f>
        <v>900.31000000005588</v>
      </c>
    </row>
    <row r="9" spans="1:7" ht="16.5" customHeight="1">
      <c r="A9" s="423">
        <v>1402.3400000021793</v>
      </c>
      <c r="B9" s="420" t="s">
        <v>14</v>
      </c>
      <c r="C9" s="420" t="s">
        <v>15</v>
      </c>
      <c r="D9" s="426">
        <v>0</v>
      </c>
      <c r="E9" s="426">
        <v>325</v>
      </c>
      <c r="F9" s="178">
        <f t="shared" ref="F9:F16" si="0">A9+D9-E9</f>
        <v>1077.3400000021793</v>
      </c>
    </row>
    <row r="10" spans="1:7" ht="16.5" customHeight="1">
      <c r="A10" s="423">
        <v>22307608.939999998</v>
      </c>
      <c r="B10" s="420" t="s">
        <v>9</v>
      </c>
      <c r="C10" s="420" t="s">
        <v>10</v>
      </c>
      <c r="D10" s="426">
        <v>8018566.0999999996</v>
      </c>
      <c r="E10" s="426">
        <v>4371513.8600000003</v>
      </c>
      <c r="F10" s="178">
        <f t="shared" si="0"/>
        <v>25954661.18</v>
      </c>
      <c r="G10" s="427">
        <f>SUM(F8:F10)</f>
        <v>25956638.830000002</v>
      </c>
    </row>
    <row r="11" spans="1:7" ht="16.5" customHeight="1">
      <c r="B11" s="175" t="s">
        <v>16</v>
      </c>
      <c r="C11" s="351" t="s">
        <v>17</v>
      </c>
      <c r="D11" s="176">
        <v>6287244.9400000004</v>
      </c>
      <c r="E11" s="426"/>
      <c r="F11" s="178">
        <f t="shared" si="0"/>
        <v>6287244.9400000004</v>
      </c>
    </row>
    <row r="12" spans="1:7" ht="16.5" customHeight="1">
      <c r="B12" s="241" t="s">
        <v>18</v>
      </c>
      <c r="C12" s="352" t="s">
        <v>19</v>
      </c>
      <c r="D12" s="425"/>
      <c r="E12" s="426"/>
      <c r="F12" s="178">
        <f t="shared" si="0"/>
        <v>0</v>
      </c>
    </row>
    <row r="13" spans="1:7" ht="16.5" customHeight="1">
      <c r="A13" s="154">
        <v>1756259.9399999995</v>
      </c>
      <c r="B13" s="417" t="s">
        <v>20</v>
      </c>
      <c r="C13" s="353" t="s">
        <v>21</v>
      </c>
      <c r="D13" s="426"/>
      <c r="E13" s="426"/>
      <c r="F13" s="178">
        <f t="shared" si="0"/>
        <v>1756259.9399999995</v>
      </c>
    </row>
    <row r="14" spans="1:7" ht="16.5" customHeight="1">
      <c r="A14" s="154">
        <v>6070784.4100000001</v>
      </c>
      <c r="B14" s="417" t="s">
        <v>22</v>
      </c>
      <c r="C14" s="353" t="s">
        <v>23</v>
      </c>
      <c r="D14" s="426"/>
      <c r="E14" s="426"/>
      <c r="F14" s="178">
        <f t="shared" si="0"/>
        <v>6070784.4100000001</v>
      </c>
    </row>
    <row r="15" spans="1:7" ht="16.5" customHeight="1">
      <c r="A15" s="154">
        <v>7131627.0899999999</v>
      </c>
      <c r="B15" s="420" t="s">
        <v>24</v>
      </c>
      <c r="C15" s="420" t="s">
        <v>25</v>
      </c>
      <c r="D15" s="426">
        <v>128242.4</v>
      </c>
      <c r="E15" s="426">
        <v>0</v>
      </c>
      <c r="F15" s="178">
        <f t="shared" si="0"/>
        <v>7259869.4900000002</v>
      </c>
    </row>
    <row r="16" spans="1:7" ht="16.5" customHeight="1">
      <c r="A16" s="154">
        <v>2325762.6599999988</v>
      </c>
      <c r="B16" s="241" t="s">
        <v>59</v>
      </c>
      <c r="C16" s="352" t="s">
        <v>60</v>
      </c>
      <c r="D16" s="426"/>
      <c r="E16" s="426"/>
      <c r="F16" s="178">
        <f t="shared" si="0"/>
        <v>2325762.6599999988</v>
      </c>
      <c r="G16" s="427">
        <f>SUM(F13:F16)</f>
        <v>17412676.5</v>
      </c>
    </row>
    <row r="17" spans="1:6" ht="16.5" customHeight="1">
      <c r="B17" s="420" t="s">
        <v>423</v>
      </c>
      <c r="C17" s="420" t="s">
        <v>424</v>
      </c>
      <c r="D17" s="426">
        <v>3925.41</v>
      </c>
      <c r="E17" s="426">
        <v>0</v>
      </c>
    </row>
    <row r="18" spans="1:6" ht="16.5" customHeight="1">
      <c r="A18" s="423">
        <v>1554562.14</v>
      </c>
      <c r="B18" s="420" t="s">
        <v>28</v>
      </c>
      <c r="C18" s="420" t="s">
        <v>29</v>
      </c>
      <c r="D18" s="426">
        <v>2743219.16</v>
      </c>
      <c r="E18" s="426">
        <v>3086538.56</v>
      </c>
      <c r="F18" s="178">
        <f t="shared" ref="F18:F24" si="1">-(E18+A18-D18)</f>
        <v>-1897881.54</v>
      </c>
    </row>
    <row r="19" spans="1:6" ht="16.5" customHeight="1">
      <c r="A19" s="423">
        <v>6601783.3300000001</v>
      </c>
      <c r="B19" s="420" t="s">
        <v>406</v>
      </c>
      <c r="C19" s="420" t="s">
        <v>407</v>
      </c>
      <c r="D19" s="426">
        <v>0</v>
      </c>
      <c r="E19" s="426">
        <v>763280.88</v>
      </c>
      <c r="F19" s="178">
        <f t="shared" si="1"/>
        <v>-7365064.21</v>
      </c>
    </row>
    <row r="20" spans="1:6" ht="16.5" customHeight="1">
      <c r="A20" s="423">
        <v>1693545.2</v>
      </c>
      <c r="B20" s="420" t="s">
        <v>408</v>
      </c>
      <c r="C20" s="420" t="s">
        <v>409</v>
      </c>
      <c r="D20" s="426">
        <v>0</v>
      </c>
      <c r="E20" s="426">
        <v>125594.89</v>
      </c>
      <c r="F20" s="178">
        <f t="shared" si="1"/>
        <v>-1819140.0899999999</v>
      </c>
    </row>
    <row r="21" spans="1:6" ht="16.5" customHeight="1">
      <c r="A21" s="423">
        <v>734599.02</v>
      </c>
      <c r="B21" s="420" t="s">
        <v>26</v>
      </c>
      <c r="C21" s="420" t="s">
        <v>27</v>
      </c>
      <c r="D21" s="426">
        <v>0</v>
      </c>
      <c r="E21" s="426">
        <v>113995.63</v>
      </c>
      <c r="F21" s="178">
        <f t="shared" si="1"/>
        <v>-848594.65</v>
      </c>
    </row>
    <row r="22" spans="1:6" ht="16.5" customHeight="1">
      <c r="A22" s="423">
        <v>19588133.590000011</v>
      </c>
      <c r="B22" s="417" t="s">
        <v>61</v>
      </c>
      <c r="C22" s="417" t="s">
        <v>62</v>
      </c>
      <c r="D22" s="426"/>
      <c r="E22" s="426">
        <v>6287244.9399999958</v>
      </c>
      <c r="F22" s="178">
        <f t="shared" si="1"/>
        <v>-25875378.530000009</v>
      </c>
    </row>
    <row r="23" spans="1:6" ht="16.5" customHeight="1">
      <c r="A23" s="423">
        <v>9418122</v>
      </c>
      <c r="B23" s="173" t="s">
        <v>63</v>
      </c>
      <c r="C23" s="234" t="s">
        <v>64</v>
      </c>
      <c r="D23" s="426"/>
      <c r="E23" s="426"/>
      <c r="F23" s="178">
        <f t="shared" si="1"/>
        <v>-9418122</v>
      </c>
    </row>
    <row r="24" spans="1:6" ht="16.5" customHeight="1">
      <c r="B24" s="420" t="s">
        <v>30</v>
      </c>
      <c r="C24" s="420" t="s">
        <v>31</v>
      </c>
      <c r="D24" s="426">
        <v>0</v>
      </c>
      <c r="E24" s="426">
        <v>8018566.0999999996</v>
      </c>
      <c r="F24" s="178">
        <f t="shared" si="1"/>
        <v>-8018566.0999999996</v>
      </c>
    </row>
    <row r="25" spans="1:6" ht="16.5" customHeight="1">
      <c r="B25" s="420" t="s">
        <v>36</v>
      </c>
      <c r="C25" s="420" t="s">
        <v>37</v>
      </c>
      <c r="D25" s="426">
        <v>170377.5</v>
      </c>
      <c r="E25" s="426">
        <v>0</v>
      </c>
      <c r="F25" s="427">
        <f>D25</f>
        <v>170377.5</v>
      </c>
    </row>
    <row r="26" spans="1:6" ht="16.5" customHeight="1">
      <c r="B26" s="420" t="s">
        <v>426</v>
      </c>
      <c r="C26" s="420" t="s">
        <v>427</v>
      </c>
      <c r="D26" s="426">
        <v>763280.88</v>
      </c>
      <c r="E26" s="426">
        <v>0</v>
      </c>
      <c r="F26" s="427">
        <f t="shared" ref="F26:F42" si="2">D26</f>
        <v>763280.88</v>
      </c>
    </row>
    <row r="27" spans="1:6" ht="16.5" customHeight="1">
      <c r="B27" s="420" t="s">
        <v>40</v>
      </c>
      <c r="C27" s="420" t="s">
        <v>41</v>
      </c>
      <c r="D27" s="426">
        <v>661915.76</v>
      </c>
      <c r="E27" s="426">
        <v>0</v>
      </c>
      <c r="F27" s="427">
        <f t="shared" si="2"/>
        <v>661915.76</v>
      </c>
    </row>
    <row r="28" spans="1:6" ht="16.5" customHeight="1">
      <c r="B28" s="420" t="s">
        <v>414</v>
      </c>
      <c r="C28" s="420" t="s">
        <v>42</v>
      </c>
      <c r="D28" s="426">
        <v>8300.9699999999993</v>
      </c>
      <c r="E28" s="426">
        <v>0</v>
      </c>
      <c r="F28" s="427">
        <f t="shared" si="2"/>
        <v>8300.9699999999993</v>
      </c>
    </row>
    <row r="29" spans="1:6" ht="16.5" customHeight="1">
      <c r="B29" s="420" t="s">
        <v>43</v>
      </c>
      <c r="C29" s="420" t="s">
        <v>44</v>
      </c>
      <c r="D29" s="426">
        <v>765286.79</v>
      </c>
      <c r="E29" s="426">
        <v>0</v>
      </c>
      <c r="F29" s="427">
        <f t="shared" si="2"/>
        <v>765286.79</v>
      </c>
    </row>
    <row r="30" spans="1:6" ht="16.5" customHeight="1">
      <c r="B30" s="420" t="s">
        <v>417</v>
      </c>
      <c r="C30" s="420" t="s">
        <v>418</v>
      </c>
      <c r="D30" s="426">
        <v>4260</v>
      </c>
      <c r="E30" s="426">
        <v>0</v>
      </c>
      <c r="F30" s="427">
        <f t="shared" si="2"/>
        <v>4260</v>
      </c>
    </row>
    <row r="31" spans="1:6" ht="16.5" customHeight="1">
      <c r="B31" s="420" t="s">
        <v>419</v>
      </c>
      <c r="C31" s="420" t="s">
        <v>420</v>
      </c>
      <c r="D31" s="426">
        <v>1053.8800000000001</v>
      </c>
      <c r="E31" s="426">
        <v>0</v>
      </c>
      <c r="F31" s="427">
        <f t="shared" si="2"/>
        <v>1053.8800000000001</v>
      </c>
    </row>
    <row r="32" spans="1:6" ht="16.5" customHeight="1">
      <c r="B32" s="420" t="s">
        <v>421</v>
      </c>
      <c r="C32" s="420" t="s">
        <v>422</v>
      </c>
      <c r="D32" s="426">
        <v>4254</v>
      </c>
      <c r="E32" s="426">
        <v>0</v>
      </c>
      <c r="F32" s="427">
        <f t="shared" si="2"/>
        <v>4254</v>
      </c>
    </row>
    <row r="33" spans="2:7" ht="16.5" customHeight="1">
      <c r="B33" s="420" t="s">
        <v>425</v>
      </c>
      <c r="C33" s="420" t="s">
        <v>33</v>
      </c>
      <c r="D33" s="426">
        <v>4600</v>
      </c>
      <c r="E33" s="426">
        <v>0</v>
      </c>
      <c r="F33" s="427">
        <f t="shared" si="2"/>
        <v>4600</v>
      </c>
    </row>
    <row r="34" spans="2:7" ht="16.5" customHeight="1">
      <c r="B34" s="420" t="s">
        <v>446</v>
      </c>
      <c r="C34" s="420" t="s">
        <v>447</v>
      </c>
      <c r="D34" s="426">
        <v>4614.67</v>
      </c>
      <c r="E34" s="426">
        <v>0</v>
      </c>
      <c r="F34" s="427">
        <f t="shared" si="2"/>
        <v>4614.67</v>
      </c>
    </row>
    <row r="35" spans="2:7" ht="16.5" customHeight="1">
      <c r="B35" s="420" t="s">
        <v>46</v>
      </c>
      <c r="C35" s="420" t="s">
        <v>47</v>
      </c>
      <c r="D35" s="426">
        <v>1536743.15</v>
      </c>
      <c r="E35" s="426">
        <v>0</v>
      </c>
      <c r="F35" s="427">
        <f t="shared" si="2"/>
        <v>1536743.15</v>
      </c>
      <c r="G35" s="427">
        <f>SUM(F35+F27+F25)</f>
        <v>2369036.41</v>
      </c>
    </row>
    <row r="36" spans="2:7" ht="16.5" customHeight="1">
      <c r="B36" s="420" t="s">
        <v>34</v>
      </c>
      <c r="C36" s="420" t="s">
        <v>35</v>
      </c>
      <c r="D36" s="426">
        <v>125594.89</v>
      </c>
      <c r="E36" s="426">
        <v>0</v>
      </c>
      <c r="F36" s="427">
        <f t="shared" si="2"/>
        <v>125594.89</v>
      </c>
    </row>
    <row r="37" spans="2:7" ht="16.5" customHeight="1">
      <c r="B37" s="420" t="s">
        <v>49</v>
      </c>
      <c r="C37" s="420" t="s">
        <v>50</v>
      </c>
      <c r="D37" s="426">
        <v>16993.8</v>
      </c>
      <c r="E37" s="426">
        <v>0</v>
      </c>
      <c r="F37" s="427">
        <f t="shared" si="2"/>
        <v>16993.8</v>
      </c>
    </row>
    <row r="38" spans="2:7" ht="16.5" customHeight="1">
      <c r="B38" s="420" t="s">
        <v>445</v>
      </c>
      <c r="C38" s="420" t="s">
        <v>51</v>
      </c>
      <c r="D38" s="426">
        <v>3000</v>
      </c>
      <c r="E38" s="426">
        <v>0</v>
      </c>
      <c r="F38" s="427">
        <f t="shared" si="2"/>
        <v>3000</v>
      </c>
    </row>
    <row r="39" spans="2:7" ht="16.5" customHeight="1">
      <c r="B39" s="420" t="s">
        <v>440</v>
      </c>
      <c r="C39" s="420" t="s">
        <v>448</v>
      </c>
      <c r="D39" s="426">
        <v>4130</v>
      </c>
      <c r="E39" s="426">
        <v>0</v>
      </c>
      <c r="F39" s="427">
        <f t="shared" si="2"/>
        <v>4130</v>
      </c>
    </row>
    <row r="40" spans="2:7" ht="16.5" customHeight="1">
      <c r="B40" s="420" t="s">
        <v>428</v>
      </c>
      <c r="C40" s="420" t="s">
        <v>429</v>
      </c>
      <c r="D40" s="426">
        <v>80000</v>
      </c>
      <c r="E40" s="426">
        <v>0</v>
      </c>
      <c r="F40" s="427">
        <f t="shared" si="2"/>
        <v>80000</v>
      </c>
    </row>
    <row r="41" spans="2:7" ht="16.5" customHeight="1">
      <c r="B41" s="420" t="s">
        <v>52</v>
      </c>
      <c r="C41" s="420" t="s">
        <v>53</v>
      </c>
      <c r="D41" s="426">
        <v>1426780.56</v>
      </c>
      <c r="E41" s="426">
        <v>0</v>
      </c>
      <c r="F41" s="427">
        <f t="shared" si="2"/>
        <v>1426780.56</v>
      </c>
      <c r="G41" s="427">
        <f>SUM(F41+F40+F36+F34+F33+F32+F31+F30+F26)</f>
        <v>2414438.88</v>
      </c>
    </row>
    <row r="42" spans="2:7" ht="16.5" customHeight="1">
      <c r="B42" s="420" t="s">
        <v>55</v>
      </c>
      <c r="C42" s="420" t="s">
        <v>56</v>
      </c>
      <c r="D42" s="426">
        <v>5000</v>
      </c>
      <c r="E42" s="426">
        <v>0</v>
      </c>
      <c r="F42" s="427">
        <f t="shared" si="2"/>
        <v>5000</v>
      </c>
      <c r="G42" s="427">
        <f>SUM(F42+F39+F38+F37)</f>
        <v>29123.8</v>
      </c>
    </row>
    <row r="43" spans="2:7" ht="16.5" customHeight="1" thickBot="1">
      <c r="B43" s="421" t="s">
        <v>57</v>
      </c>
      <c r="C43" s="421" t="s">
        <v>58</v>
      </c>
      <c r="D43" s="428">
        <f>SUM(D8:D42)</f>
        <v>22767384.859999996</v>
      </c>
      <c r="E43" s="428">
        <f>SUM(E8:E42)</f>
        <v>22767384.859999996</v>
      </c>
      <c r="F43" s="429">
        <f>SUM(F8:F42)</f>
        <v>0</v>
      </c>
    </row>
    <row r="44" spans="2:7" ht="16.5" customHeight="1" thickTop="1"/>
    <row r="45" spans="2:7" ht="18.75" customHeight="1">
      <c r="F45" s="427"/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Impresion3/24/2025 1:45:28 PM &amp;R&amp;"Segoe UI,Regular"&amp;10 Pagina : 1 de 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58" t="s">
        <v>0</v>
      </c>
      <c r="B1" s="458"/>
    </row>
    <row r="2" spans="1:2" ht="18.75">
      <c r="A2" s="466" t="s">
        <v>344</v>
      </c>
      <c r="B2" s="466"/>
    </row>
    <row r="3" spans="1:2">
      <c r="A3" s="467" t="s">
        <v>476</v>
      </c>
      <c r="B3" s="467"/>
    </row>
    <row r="4" spans="1:2" ht="18.75">
      <c r="A4" s="466" t="s">
        <v>2</v>
      </c>
      <c r="B4" s="466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68" t="s">
        <v>310</v>
      </c>
      <c r="B8" s="471" t="s">
        <v>278</v>
      </c>
    </row>
    <row r="9" spans="1:2">
      <c r="A9" s="469"/>
      <c r="B9" s="472"/>
    </row>
    <row r="10" spans="1:2">
      <c r="A10" s="470"/>
      <c r="B10" s="473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58" t="s">
        <v>0</v>
      </c>
      <c r="B1" s="458"/>
    </row>
    <row r="2" spans="1:2" ht="18.75">
      <c r="A2" s="466" t="s">
        <v>347</v>
      </c>
      <c r="B2" s="466"/>
    </row>
    <row r="3" spans="1:2">
      <c r="A3" s="467" t="s">
        <v>477</v>
      </c>
      <c r="B3" s="474"/>
    </row>
    <row r="4" spans="1:2" ht="18.75">
      <c r="A4" s="466" t="s">
        <v>2</v>
      </c>
      <c r="B4" s="466"/>
    </row>
    <row r="5" spans="1:2" ht="15.75">
      <c r="A5" s="22"/>
      <c r="B5" s="23"/>
    </row>
    <row r="6" spans="1:2" ht="15.75">
      <c r="A6" s="22"/>
      <c r="B6" s="23"/>
    </row>
    <row r="7" spans="1:2">
      <c r="A7" s="468" t="s">
        <v>310</v>
      </c>
      <c r="B7" s="471" t="s">
        <v>278</v>
      </c>
    </row>
    <row r="8" spans="1:2">
      <c r="A8" s="469"/>
      <c r="B8" s="472"/>
    </row>
    <row r="9" spans="1:2">
      <c r="A9" s="470"/>
      <c r="B9" s="473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A5" sqref="A5:B5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58" t="s">
        <v>0</v>
      </c>
      <c r="B2" s="458"/>
    </row>
    <row r="3" spans="1:4" ht="18.75">
      <c r="A3" s="466" t="s">
        <v>349</v>
      </c>
      <c r="B3" s="466"/>
    </row>
    <row r="4" spans="1:4">
      <c r="A4" s="467" t="s">
        <v>489</v>
      </c>
      <c r="B4" s="474"/>
    </row>
    <row r="5" spans="1:4" ht="18.75">
      <c r="A5" s="466" t="s">
        <v>2</v>
      </c>
      <c r="B5" s="466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/>
    </row>
    <row r="10" spans="1:4" ht="15.75">
      <c r="A10" s="2" t="s">
        <v>351</v>
      </c>
      <c r="B10" s="14">
        <f>SUM(B9)</f>
        <v>0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481307.58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481307.58</v>
      </c>
    </row>
    <row r="26" spans="1:2" ht="18.75">
      <c r="A26" s="20" t="s">
        <v>354</v>
      </c>
      <c r="B26" s="21">
        <f>+B10+B25</f>
        <v>481307.58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workbookViewId="0">
      <selection activeCell="A5" sqref="A5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58" t="s">
        <v>0</v>
      </c>
      <c r="C2" s="458"/>
    </row>
    <row r="3" spans="1:3" ht="15.75">
      <c r="B3" s="475" t="s">
        <v>355</v>
      </c>
      <c r="C3" s="475"/>
    </row>
    <row r="4" spans="1:3">
      <c r="A4" s="467" t="s">
        <v>490</v>
      </c>
      <c r="B4" s="474"/>
      <c r="C4" s="474"/>
    </row>
    <row r="5" spans="1:3" ht="15" customHeight="1">
      <c r="B5" s="475" t="s">
        <v>2</v>
      </c>
      <c r="C5" s="475"/>
    </row>
    <row r="6" spans="1:3" ht="15" customHeight="1">
      <c r="C6" s="240">
        <v>2025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1409814.41</v>
      </c>
    </row>
    <row r="11" spans="1:3" ht="15" customHeight="1">
      <c r="B11" s="6" t="s">
        <v>360</v>
      </c>
      <c r="C11" s="7">
        <v>85000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13200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763280.88</v>
      </c>
    </row>
    <row r="16" spans="1:3" ht="15.75">
      <c r="B16" s="6" t="s">
        <v>362</v>
      </c>
      <c r="C16" s="7"/>
    </row>
    <row r="17" spans="2:3" ht="15.75">
      <c r="B17" s="6" t="s">
        <v>363</v>
      </c>
      <c r="C17" s="7">
        <v>125594.89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>
        <v>11151</v>
      </c>
    </row>
    <row r="25" spans="2:3" ht="15.75">
      <c r="B25" s="6" t="s">
        <v>370</v>
      </c>
      <c r="C25" s="7"/>
    </row>
    <row r="26" spans="2:3" ht="15.75">
      <c r="B26" s="6" t="s">
        <v>56</v>
      </c>
      <c r="C26" s="7"/>
    </row>
    <row r="27" spans="2:3" ht="15.75">
      <c r="B27" s="6" t="s">
        <v>39</v>
      </c>
      <c r="C27" s="7"/>
    </row>
    <row r="28" spans="2:3" ht="15.75">
      <c r="B28" s="6" t="s">
        <v>48</v>
      </c>
      <c r="C28" s="7">
        <v>104902.96</v>
      </c>
    </row>
    <row r="29" spans="2:3" ht="15.75">
      <c r="B29" s="6" t="s">
        <v>371</v>
      </c>
      <c r="C29" s="7">
        <v>494886.43</v>
      </c>
    </row>
    <row r="30" spans="2:3" ht="15.75">
      <c r="B30" s="6" t="s">
        <v>372</v>
      </c>
      <c r="C30" s="7">
        <v>4720</v>
      </c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179673.49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1800515.41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5031047.34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15767.35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10039554.16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8" topLeftCell="C9" activePane="bottomRight" state="frozen"/>
      <selection pane="topRight" activeCell="D1" sqref="D1"/>
      <selection pane="bottomLeft" activeCell="A11" sqref="A11"/>
      <selection pane="bottomRight" activeCell="A5" sqref="A5:F5"/>
    </sheetView>
  </sheetViews>
  <sheetFormatPr baseColWidth="10" defaultRowHeight="15"/>
  <cols>
    <col min="1" max="1" width="16" style="383" customWidth="1"/>
    <col min="2" max="2" width="17.42578125" style="407" customWidth="1"/>
    <col min="3" max="3" width="44.140625" style="407" customWidth="1"/>
    <col min="4" max="4" width="16" style="383" customWidth="1"/>
    <col min="5" max="5" width="14.28515625" style="383" bestFit="1" customWidth="1"/>
    <col min="6" max="6" width="15.5703125" style="407" customWidth="1"/>
    <col min="7" max="7" width="16" style="407" customWidth="1"/>
    <col min="8" max="16384" width="11.42578125" style="407"/>
  </cols>
  <sheetData>
    <row r="1" spans="1:7" ht="15.75" customHeight="1"/>
    <row r="2" spans="1:7" ht="15.75" customHeight="1">
      <c r="C2" s="376"/>
    </row>
    <row r="3" spans="1:7" ht="15.75" customHeight="1">
      <c r="A3" s="458" t="s">
        <v>1</v>
      </c>
      <c r="B3" s="458"/>
      <c r="C3" s="458"/>
      <c r="D3" s="458"/>
      <c r="E3" s="458"/>
      <c r="F3" s="458"/>
    </row>
    <row r="4" spans="1:7" ht="15.75" customHeight="1">
      <c r="A4" s="458" t="s">
        <v>478</v>
      </c>
      <c r="B4" s="458"/>
      <c r="C4" s="458"/>
      <c r="D4" s="458"/>
      <c r="E4" s="458"/>
      <c r="F4" s="458"/>
    </row>
    <row r="5" spans="1:7" ht="15.75" customHeight="1">
      <c r="A5" s="458" t="s">
        <v>2</v>
      </c>
      <c r="B5" s="458"/>
      <c r="C5" s="458"/>
      <c r="D5" s="458"/>
      <c r="E5" s="458"/>
      <c r="F5" s="458"/>
    </row>
    <row r="6" spans="1:7" ht="15.75" customHeight="1"/>
    <row r="7" spans="1:7" ht="15.75" customHeight="1"/>
    <row r="8" spans="1:7">
      <c r="A8" s="404" t="s">
        <v>3</v>
      </c>
      <c r="B8" s="409" t="s">
        <v>4</v>
      </c>
      <c r="C8" s="416" t="s">
        <v>5</v>
      </c>
      <c r="D8" s="404" t="s">
        <v>6</v>
      </c>
      <c r="E8" s="404" t="s">
        <v>7</v>
      </c>
      <c r="F8" s="409" t="s">
        <v>8</v>
      </c>
    </row>
    <row r="9" spans="1:7" ht="15" customHeight="1">
      <c r="A9" s="383">
        <v>1550.3100000000559</v>
      </c>
      <c r="B9" s="405" t="s">
        <v>11</v>
      </c>
      <c r="C9" s="414" t="s">
        <v>12</v>
      </c>
      <c r="D9" s="380">
        <v>0</v>
      </c>
      <c r="E9" s="381">
        <v>325</v>
      </c>
      <c r="F9" s="178">
        <f>A9+D9-E9</f>
        <v>1225.3100000000559</v>
      </c>
    </row>
    <row r="10" spans="1:7" ht="15" customHeight="1">
      <c r="A10" s="383">
        <v>1727.3400000021793</v>
      </c>
      <c r="B10" s="405" t="s">
        <v>14</v>
      </c>
      <c r="C10" s="414" t="s">
        <v>15</v>
      </c>
      <c r="D10" s="380">
        <v>0</v>
      </c>
      <c r="E10" s="381">
        <v>325</v>
      </c>
      <c r="F10" s="178">
        <f t="shared" ref="F10:F17" si="0">A10+D10-E10</f>
        <v>1402.3400000021793</v>
      </c>
    </row>
    <row r="11" spans="1:7" ht="15" customHeight="1">
      <c r="A11" s="383">
        <v>16815092.979999997</v>
      </c>
      <c r="B11" s="405" t="s">
        <v>9</v>
      </c>
      <c r="C11" s="414" t="s">
        <v>10</v>
      </c>
      <c r="D11" s="380">
        <v>9579824.25</v>
      </c>
      <c r="E11" s="381">
        <v>4087308.29</v>
      </c>
      <c r="F11" s="178">
        <f t="shared" si="0"/>
        <v>22307608.939999998</v>
      </c>
      <c r="G11" s="384">
        <f>SUM(F9:F11)</f>
        <v>22310236.59</v>
      </c>
    </row>
    <row r="12" spans="1:7" ht="15" customHeight="1">
      <c r="B12" s="175" t="s">
        <v>16</v>
      </c>
      <c r="C12" s="351" t="s">
        <v>17</v>
      </c>
      <c r="D12" s="383">
        <v>5624726.9100000001</v>
      </c>
      <c r="E12" s="381"/>
      <c r="F12" s="178">
        <f t="shared" si="0"/>
        <v>5624726.9100000001</v>
      </c>
    </row>
    <row r="13" spans="1:7" ht="15" customHeight="1">
      <c r="B13" s="241" t="s">
        <v>18</v>
      </c>
      <c r="C13" s="352" t="s">
        <v>19</v>
      </c>
      <c r="D13" s="381"/>
      <c r="E13" s="381"/>
      <c r="F13" s="178">
        <f t="shared" si="0"/>
        <v>0</v>
      </c>
    </row>
    <row r="14" spans="1:7" ht="15" customHeight="1">
      <c r="A14" s="383">
        <v>1756631.4699999997</v>
      </c>
      <c r="B14" s="287" t="s">
        <v>20</v>
      </c>
      <c r="C14" s="353" t="s">
        <v>21</v>
      </c>
      <c r="D14" s="381"/>
      <c r="E14" s="381"/>
      <c r="F14" s="178">
        <f t="shared" si="0"/>
        <v>1756631.4699999997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1"/>
      <c r="E15" s="381"/>
      <c r="F15" s="178">
        <f t="shared" si="0"/>
        <v>6070784.4100000001</v>
      </c>
    </row>
    <row r="16" spans="1:7" ht="15" customHeight="1">
      <c r="A16" s="383">
        <v>7822325.8199999966</v>
      </c>
      <c r="B16" s="287" t="s">
        <v>24</v>
      </c>
      <c r="C16" s="353" t="s">
        <v>25</v>
      </c>
      <c r="D16" s="381"/>
      <c r="E16" s="381"/>
      <c r="F16" s="178">
        <f t="shared" si="0"/>
        <v>7822325.8199999966</v>
      </c>
    </row>
    <row r="17" spans="1:7" ht="15" customHeight="1">
      <c r="A17" s="383">
        <v>1998465.0399999991</v>
      </c>
      <c r="B17" s="241" t="s">
        <v>59</v>
      </c>
      <c r="C17" s="352" t="s">
        <v>60</v>
      </c>
      <c r="D17" s="381"/>
      <c r="E17" s="381"/>
      <c r="F17" s="178">
        <f t="shared" si="0"/>
        <v>1998465.0399999991</v>
      </c>
      <c r="G17" s="384">
        <f>SUM(F14:F17)</f>
        <v>17648206.739999995</v>
      </c>
    </row>
    <row r="18" spans="1:7" ht="15" customHeight="1">
      <c r="B18" s="405" t="s">
        <v>423</v>
      </c>
      <c r="C18" s="414" t="s">
        <v>424</v>
      </c>
      <c r="D18" s="380">
        <v>135969.29999999999</v>
      </c>
      <c r="E18" s="381">
        <v>135969.29999999999</v>
      </c>
      <c r="F18" s="178">
        <f t="shared" ref="F18:F25" si="1">-(E18+A18-D18)</f>
        <v>0</v>
      </c>
    </row>
    <row r="19" spans="1:7" ht="15" customHeight="1">
      <c r="A19" s="383">
        <v>779718.31999999797</v>
      </c>
      <c r="B19" s="405" t="s">
        <v>28</v>
      </c>
      <c r="C19" s="414" t="s">
        <v>29</v>
      </c>
      <c r="D19" s="380">
        <v>1233523.8500000001</v>
      </c>
      <c r="E19" s="381">
        <v>2008367.67</v>
      </c>
      <c r="F19" s="178">
        <f t="shared" si="1"/>
        <v>-1554562.1399999978</v>
      </c>
    </row>
    <row r="20" spans="1:7" ht="15" customHeight="1">
      <c r="A20" s="383">
        <v>5838502.4500000002</v>
      </c>
      <c r="B20" s="405" t="s">
        <v>406</v>
      </c>
      <c r="C20" s="414" t="s">
        <v>407</v>
      </c>
      <c r="D20" s="380">
        <v>0</v>
      </c>
      <c r="E20" s="381">
        <v>763280.88</v>
      </c>
      <c r="F20" s="178">
        <f t="shared" si="1"/>
        <v>-6601783.3300000001</v>
      </c>
    </row>
    <row r="21" spans="1:7" ht="15" customHeight="1">
      <c r="A21" s="383">
        <v>1567950.31</v>
      </c>
      <c r="B21" s="405" t="s">
        <v>408</v>
      </c>
      <c r="C21" s="414" t="s">
        <v>409</v>
      </c>
      <c r="D21" s="380">
        <v>0</v>
      </c>
      <c r="E21" s="381">
        <v>125594.89</v>
      </c>
      <c r="F21" s="178">
        <f t="shared" si="1"/>
        <v>-1693545.2</v>
      </c>
    </row>
    <row r="22" spans="1:7" ht="15" customHeight="1">
      <c r="A22" s="383">
        <v>1217779.72</v>
      </c>
      <c r="B22" s="405" t="s">
        <v>26</v>
      </c>
      <c r="C22" s="414" t="s">
        <v>27</v>
      </c>
      <c r="D22" s="380">
        <v>554283.9</v>
      </c>
      <c r="E22" s="381">
        <v>71103.199999999997</v>
      </c>
      <c r="F22" s="178">
        <f t="shared" si="1"/>
        <v>-734599.0199999999</v>
      </c>
    </row>
    <row r="23" spans="1:7" ht="15" customHeight="1">
      <c r="A23" s="383">
        <v>18088483.569999982</v>
      </c>
      <c r="B23" s="287" t="s">
        <v>61</v>
      </c>
      <c r="C23" s="287" t="s">
        <v>62</v>
      </c>
      <c r="D23" s="381"/>
      <c r="E23" s="381">
        <v>5624726.9100000001</v>
      </c>
      <c r="F23" s="178">
        <f t="shared" si="1"/>
        <v>-23713210.479999982</v>
      </c>
    </row>
    <row r="24" spans="1:7" ht="15" customHeight="1">
      <c r="A24" s="383">
        <v>6974143</v>
      </c>
      <c r="B24" s="173" t="s">
        <v>63</v>
      </c>
      <c r="C24" s="234" t="s">
        <v>64</v>
      </c>
      <c r="D24" s="381"/>
      <c r="E24" s="381"/>
      <c r="F24" s="178">
        <f t="shared" si="1"/>
        <v>-6974143</v>
      </c>
    </row>
    <row r="25" spans="1:7" ht="15" customHeight="1">
      <c r="B25" s="405" t="s">
        <v>30</v>
      </c>
      <c r="C25" s="414" t="s">
        <v>31</v>
      </c>
      <c r="D25" s="380">
        <v>0</v>
      </c>
      <c r="E25" s="381">
        <v>9579824.25</v>
      </c>
      <c r="F25" s="178">
        <f t="shared" si="1"/>
        <v>-9579824.25</v>
      </c>
    </row>
    <row r="26" spans="1:7" ht="15" customHeight="1">
      <c r="B26" s="405" t="s">
        <v>36</v>
      </c>
      <c r="C26" s="414" t="s">
        <v>37</v>
      </c>
      <c r="D26" s="380">
        <v>219192.5</v>
      </c>
      <c r="E26" s="381">
        <v>0</v>
      </c>
      <c r="F26" s="400">
        <f>D26</f>
        <v>219192.5</v>
      </c>
    </row>
    <row r="27" spans="1:7" ht="15" customHeight="1">
      <c r="B27" s="405" t="s">
        <v>38</v>
      </c>
      <c r="C27" s="414" t="s">
        <v>39</v>
      </c>
      <c r="D27" s="380">
        <v>97930</v>
      </c>
      <c r="E27" s="381">
        <v>0</v>
      </c>
      <c r="F27" s="388">
        <f t="shared" ref="F27:F43" si="2">D27</f>
        <v>97930</v>
      </c>
    </row>
    <row r="28" spans="1:7" ht="15" customHeight="1">
      <c r="B28" s="405" t="s">
        <v>426</v>
      </c>
      <c r="C28" s="414" t="s">
        <v>427</v>
      </c>
      <c r="D28" s="380">
        <v>763280.88</v>
      </c>
      <c r="E28" s="381">
        <v>0</v>
      </c>
      <c r="F28" s="385">
        <f t="shared" si="2"/>
        <v>763280.88</v>
      </c>
    </row>
    <row r="29" spans="1:7" ht="15" customHeight="1">
      <c r="B29" s="405" t="s">
        <v>40</v>
      </c>
      <c r="C29" s="414" t="s">
        <v>41</v>
      </c>
      <c r="D29" s="380">
        <v>107900</v>
      </c>
      <c r="E29" s="381">
        <v>0</v>
      </c>
      <c r="F29" s="400">
        <f t="shared" si="2"/>
        <v>107900</v>
      </c>
    </row>
    <row r="30" spans="1:7" ht="15" customHeight="1">
      <c r="B30" s="405" t="s">
        <v>414</v>
      </c>
      <c r="C30" s="414" t="s">
        <v>42</v>
      </c>
      <c r="D30" s="380">
        <v>6352.65</v>
      </c>
      <c r="E30" s="381">
        <v>0</v>
      </c>
      <c r="F30" s="384">
        <f t="shared" si="2"/>
        <v>6352.65</v>
      </c>
    </row>
    <row r="31" spans="1:7" ht="15" customHeight="1">
      <c r="B31" s="405" t="s">
        <v>43</v>
      </c>
      <c r="C31" s="414" t="s">
        <v>44</v>
      </c>
      <c r="D31" s="380">
        <v>39243.82</v>
      </c>
      <c r="E31" s="381">
        <v>0</v>
      </c>
      <c r="F31" s="384">
        <f t="shared" si="2"/>
        <v>39243.82</v>
      </c>
    </row>
    <row r="32" spans="1:7" ht="15" customHeight="1">
      <c r="B32" s="405" t="s">
        <v>417</v>
      </c>
      <c r="C32" s="414" t="s">
        <v>418</v>
      </c>
      <c r="D32" s="380">
        <v>157164.62</v>
      </c>
      <c r="E32" s="381">
        <v>0</v>
      </c>
      <c r="F32" s="385">
        <f t="shared" si="2"/>
        <v>157164.62</v>
      </c>
    </row>
    <row r="33" spans="2:7" ht="15" customHeight="1">
      <c r="B33" s="405" t="s">
        <v>419</v>
      </c>
      <c r="C33" s="414" t="s">
        <v>420</v>
      </c>
      <c r="D33" s="380">
        <v>25456.240000000002</v>
      </c>
      <c r="E33" s="381">
        <v>0</v>
      </c>
      <c r="F33" s="385">
        <f t="shared" si="2"/>
        <v>25456.240000000002</v>
      </c>
    </row>
    <row r="34" spans="2:7" ht="15" customHeight="1">
      <c r="B34" s="405" t="s">
        <v>421</v>
      </c>
      <c r="C34" s="414" t="s">
        <v>422</v>
      </c>
      <c r="D34" s="380">
        <v>156943.25</v>
      </c>
      <c r="E34" s="381">
        <v>0</v>
      </c>
      <c r="F34" s="385">
        <f t="shared" si="2"/>
        <v>156943.25</v>
      </c>
    </row>
    <row r="35" spans="2:7" ht="15" customHeight="1">
      <c r="B35" s="405" t="s">
        <v>425</v>
      </c>
      <c r="C35" s="414" t="s">
        <v>33</v>
      </c>
      <c r="D35" s="380">
        <v>28800</v>
      </c>
      <c r="E35" s="381">
        <v>0</v>
      </c>
      <c r="F35" s="388">
        <f t="shared" si="2"/>
        <v>28800</v>
      </c>
    </row>
    <row r="36" spans="2:7" ht="15" customHeight="1">
      <c r="B36" s="405" t="s">
        <v>446</v>
      </c>
      <c r="C36" s="414" t="s">
        <v>447</v>
      </c>
      <c r="D36" s="380">
        <v>218408.1</v>
      </c>
      <c r="E36" s="381">
        <v>0</v>
      </c>
      <c r="F36" s="385">
        <f t="shared" si="2"/>
        <v>218408.1</v>
      </c>
    </row>
    <row r="37" spans="2:7" ht="15" customHeight="1">
      <c r="B37" s="405" t="s">
        <v>46</v>
      </c>
      <c r="C37" s="414" t="s">
        <v>47</v>
      </c>
      <c r="D37" s="380">
        <v>857938.09</v>
      </c>
      <c r="E37" s="381">
        <v>0</v>
      </c>
      <c r="F37" s="400">
        <f t="shared" si="2"/>
        <v>857938.09</v>
      </c>
    </row>
    <row r="38" spans="2:7" ht="15" customHeight="1">
      <c r="B38" s="405" t="s">
        <v>438</v>
      </c>
      <c r="C38" s="414" t="s">
        <v>439</v>
      </c>
      <c r="D38" s="380">
        <v>455303</v>
      </c>
      <c r="E38" s="381">
        <v>0</v>
      </c>
      <c r="F38" s="400">
        <f t="shared" si="2"/>
        <v>455303</v>
      </c>
      <c r="G38" s="384">
        <f>SUM(F38+F37+F29+F26)</f>
        <v>1640333.5899999999</v>
      </c>
    </row>
    <row r="39" spans="2:7" ht="15" customHeight="1">
      <c r="B39" s="405" t="s">
        <v>34</v>
      </c>
      <c r="C39" s="414" t="s">
        <v>35</v>
      </c>
      <c r="D39" s="380">
        <v>142657.41</v>
      </c>
      <c r="E39" s="381">
        <v>0</v>
      </c>
      <c r="F39" s="385">
        <f t="shared" si="2"/>
        <v>142657.41</v>
      </c>
    </row>
    <row r="40" spans="2:7" ht="15" customHeight="1">
      <c r="B40" s="405" t="s">
        <v>473</v>
      </c>
      <c r="C40" s="414" t="s">
        <v>48</v>
      </c>
      <c r="D40" s="380">
        <v>9000</v>
      </c>
      <c r="E40" s="381">
        <v>0</v>
      </c>
      <c r="F40" s="388">
        <f t="shared" si="2"/>
        <v>9000</v>
      </c>
    </row>
    <row r="41" spans="2:7" ht="15" customHeight="1">
      <c r="B41" s="405" t="s">
        <v>49</v>
      </c>
      <c r="C41" s="414" t="s">
        <v>50</v>
      </c>
      <c r="D41" s="380">
        <v>314290.26</v>
      </c>
      <c r="E41" s="381">
        <v>0</v>
      </c>
      <c r="F41" s="388">
        <f t="shared" si="2"/>
        <v>314290.26</v>
      </c>
    </row>
    <row r="42" spans="2:7" ht="15" customHeight="1">
      <c r="B42" s="405" t="s">
        <v>52</v>
      </c>
      <c r="C42" s="414" t="s">
        <v>53</v>
      </c>
      <c r="D42" s="380">
        <v>1628636.36</v>
      </c>
      <c r="E42" s="381">
        <v>0</v>
      </c>
      <c r="F42" s="385">
        <f t="shared" si="2"/>
        <v>1628636.36</v>
      </c>
      <c r="G42" s="384">
        <f>SUM(F42+F39+F36+F34+F33+F32+F28)</f>
        <v>3092546.8600000003</v>
      </c>
    </row>
    <row r="43" spans="2:7" ht="15" customHeight="1">
      <c r="B43" s="405" t="s">
        <v>55</v>
      </c>
      <c r="C43" s="414" t="s">
        <v>56</v>
      </c>
      <c r="D43" s="380">
        <v>40000</v>
      </c>
      <c r="E43" s="381">
        <v>0</v>
      </c>
      <c r="F43" s="388">
        <f t="shared" si="2"/>
        <v>40000</v>
      </c>
      <c r="G43" s="384">
        <f>SUM(F43+F41+F40+F35+F27)</f>
        <v>490020.26</v>
      </c>
    </row>
    <row r="44" spans="2:7" ht="15" customHeight="1">
      <c r="B44" s="406" t="s">
        <v>57</v>
      </c>
      <c r="C44" s="415" t="s">
        <v>58</v>
      </c>
      <c r="D44" s="382">
        <f>SUM(D9:D43)</f>
        <v>22396825.390000001</v>
      </c>
      <c r="E44" s="382">
        <f>SUM(E9:E43)</f>
        <v>22396825.390000001</v>
      </c>
      <c r="F44" s="384">
        <f>SUM(F9:F43)</f>
        <v>2.3283064365386963E-10</v>
      </c>
    </row>
    <row r="45" spans="2:7" ht="20.25" customHeight="1"/>
    <row r="46" spans="2:7" ht="18.75" customHeight="1">
      <c r="F46" s="384">
        <f>SUM(F26:F43)</f>
        <v>5268497.1800000006</v>
      </c>
    </row>
    <row r="47" spans="2:7">
      <c r="D47" s="383">
        <f>D44-E44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Impresion2/11/2025 9:49:31 AM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pane xSplit="2" ySplit="8" topLeftCell="C3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A4" sqref="A4:F4"/>
    </sheetView>
  </sheetViews>
  <sheetFormatPr baseColWidth="10" defaultRowHeight="15"/>
  <cols>
    <col min="1" max="1" width="14.140625" style="389" bestFit="1" customWidth="1"/>
    <col min="2" max="2" width="14.140625" style="389" customWidth="1"/>
    <col min="3" max="3" width="47.42578125" style="389" customWidth="1"/>
    <col min="4" max="4" width="14.140625" style="383" bestFit="1" customWidth="1"/>
    <col min="5" max="5" width="13.85546875" style="383" bestFit="1" customWidth="1"/>
    <col min="6" max="6" width="14.140625" style="389" bestFit="1" customWidth="1"/>
    <col min="7" max="7" width="17.28515625" style="389" customWidth="1"/>
    <col min="8" max="16384" width="11.42578125" style="389"/>
  </cols>
  <sheetData>
    <row r="1" spans="1:7" ht="15" customHeight="1"/>
    <row r="2" spans="1:7" ht="15" customHeight="1">
      <c r="A2" s="458" t="s">
        <v>1</v>
      </c>
      <c r="B2" s="458"/>
      <c r="C2" s="458"/>
      <c r="D2" s="458"/>
      <c r="E2" s="458"/>
      <c r="F2" s="458"/>
    </row>
    <row r="3" spans="1:7" ht="15" customHeight="1">
      <c r="A3" s="458" t="s">
        <v>474</v>
      </c>
      <c r="B3" s="458"/>
      <c r="C3" s="458"/>
      <c r="D3" s="458"/>
      <c r="E3" s="458"/>
      <c r="F3" s="458"/>
    </row>
    <row r="4" spans="1:7" ht="15" customHeight="1">
      <c r="A4" s="458" t="s">
        <v>2</v>
      </c>
      <c r="B4" s="458"/>
      <c r="C4" s="458"/>
      <c r="D4" s="458"/>
      <c r="E4" s="458"/>
      <c r="F4" s="458"/>
    </row>
    <row r="5" spans="1:7" ht="15" customHeight="1">
      <c r="C5" s="376"/>
    </row>
    <row r="6" spans="1:7" ht="15" customHeight="1"/>
    <row r="7" spans="1:7" ht="15" customHeight="1"/>
    <row r="8" spans="1:7" ht="15" customHeight="1">
      <c r="A8" s="404" t="s">
        <v>3</v>
      </c>
      <c r="B8" s="408" t="s">
        <v>4</v>
      </c>
      <c r="C8" s="408" t="s">
        <v>5</v>
      </c>
      <c r="D8" s="410" t="s">
        <v>6</v>
      </c>
      <c r="E8" s="404" t="s">
        <v>7</v>
      </c>
      <c r="F8" s="409" t="s">
        <v>8</v>
      </c>
    </row>
    <row r="9" spans="1:7" ht="15" customHeight="1">
      <c r="A9" s="383">
        <v>1875.3100000000559</v>
      </c>
      <c r="B9" s="405" t="s">
        <v>11</v>
      </c>
      <c r="C9" s="405" t="s">
        <v>12</v>
      </c>
      <c r="D9" s="380">
        <v>0</v>
      </c>
      <c r="E9" s="381">
        <v>325</v>
      </c>
      <c r="F9" s="178">
        <f>A9+D9-E9</f>
        <v>1550.3100000000559</v>
      </c>
    </row>
    <row r="10" spans="1:7" s="407" customFormat="1" ht="15" customHeight="1">
      <c r="A10" s="383"/>
      <c r="B10" s="405" t="s">
        <v>416</v>
      </c>
      <c r="C10" s="405" t="s">
        <v>13</v>
      </c>
      <c r="D10" s="380">
        <v>31600</v>
      </c>
      <c r="E10" s="381">
        <v>31600</v>
      </c>
      <c r="F10" s="178">
        <f t="shared" ref="F10:F18" si="0">A10+D10-E10</f>
        <v>0</v>
      </c>
    </row>
    <row r="11" spans="1:7" s="407" customFormat="1" ht="15" customHeight="1">
      <c r="A11" s="178">
        <v>261137.15000000224</v>
      </c>
      <c r="B11" s="405" t="s">
        <v>14</v>
      </c>
      <c r="C11" s="405" t="s">
        <v>15</v>
      </c>
      <c r="D11" s="380">
        <v>3929720.92</v>
      </c>
      <c r="E11" s="381">
        <v>4189130.73</v>
      </c>
      <c r="F11" s="178">
        <f t="shared" si="0"/>
        <v>1727.3400000021793</v>
      </c>
    </row>
    <row r="12" spans="1:7" s="407" customFormat="1" ht="15" customHeight="1">
      <c r="A12" s="178">
        <v>21820357.309999999</v>
      </c>
      <c r="B12" s="405" t="s">
        <v>9</v>
      </c>
      <c r="C12" s="405" t="s">
        <v>10</v>
      </c>
      <c r="D12" s="380">
        <v>8419055.9499999993</v>
      </c>
      <c r="E12" s="381">
        <v>13424320.279999999</v>
      </c>
      <c r="F12" s="178">
        <f t="shared" si="0"/>
        <v>16815092.979999997</v>
      </c>
      <c r="G12" s="384">
        <f>SUM(F9:F12)</f>
        <v>16818370.629999999</v>
      </c>
    </row>
    <row r="13" spans="1:7" s="407" customFormat="1" ht="15" customHeight="1">
      <c r="A13" s="383"/>
      <c r="B13" s="175" t="s">
        <v>16</v>
      </c>
      <c r="C13" s="351" t="s">
        <v>17</v>
      </c>
      <c r="D13" s="380">
        <v>10315028.76</v>
      </c>
      <c r="E13" s="381"/>
      <c r="F13" s="178">
        <f t="shared" si="0"/>
        <v>10315028.76</v>
      </c>
    </row>
    <row r="14" spans="1:7" s="407" customFormat="1" ht="15" customHeight="1">
      <c r="A14" s="383"/>
      <c r="B14" s="241" t="s">
        <v>18</v>
      </c>
      <c r="C14" s="352" t="s">
        <v>19</v>
      </c>
      <c r="D14" s="380"/>
      <c r="E14" s="381"/>
      <c r="F14" s="178">
        <f t="shared" si="0"/>
        <v>0</v>
      </c>
    </row>
    <row r="15" spans="1:7" s="407" customFormat="1" ht="15" customHeight="1">
      <c r="A15" s="383">
        <v>1672241.7000000002</v>
      </c>
      <c r="B15" s="287" t="s">
        <v>20</v>
      </c>
      <c r="C15" s="353" t="s">
        <v>21</v>
      </c>
      <c r="D15" s="380"/>
      <c r="E15" s="381"/>
      <c r="F15" s="178">
        <f t="shared" si="0"/>
        <v>1672241.7000000002</v>
      </c>
    </row>
    <row r="16" spans="1:7" s="407" customFormat="1" ht="15" customHeight="1">
      <c r="A16" s="383">
        <v>6070784.4100000001</v>
      </c>
      <c r="B16" s="287" t="s">
        <v>22</v>
      </c>
      <c r="C16" s="353" t="s">
        <v>23</v>
      </c>
      <c r="D16" s="380"/>
      <c r="E16" s="381"/>
      <c r="F16" s="178">
        <f t="shared" si="0"/>
        <v>6070784.4100000001</v>
      </c>
    </row>
    <row r="17" spans="1:7" s="407" customFormat="1" ht="15" customHeight="1">
      <c r="A17" s="383">
        <v>7996520.0500000007</v>
      </c>
      <c r="B17" s="287" t="s">
        <v>24</v>
      </c>
      <c r="C17" s="353" t="s">
        <v>25</v>
      </c>
      <c r="D17" s="380"/>
      <c r="E17" s="381"/>
      <c r="F17" s="178">
        <f t="shared" si="0"/>
        <v>7996520.0500000007</v>
      </c>
    </row>
    <row r="18" spans="1:7" s="407" customFormat="1" ht="15" customHeight="1">
      <c r="A18" s="383">
        <v>2233903.8499999992</v>
      </c>
      <c r="B18" s="241" t="s">
        <v>59</v>
      </c>
      <c r="C18" s="352" t="s">
        <v>60</v>
      </c>
      <c r="D18" s="380"/>
      <c r="E18" s="381"/>
      <c r="F18" s="178">
        <f t="shared" si="0"/>
        <v>2233903.8499999992</v>
      </c>
      <c r="G18" s="384">
        <f>SUM(F15:F18)</f>
        <v>17973450.009999998</v>
      </c>
    </row>
    <row r="19" spans="1:7" s="407" customFormat="1" ht="15" customHeight="1">
      <c r="A19" s="383"/>
      <c r="B19" s="405" t="s">
        <v>423</v>
      </c>
      <c r="C19" s="405" t="s">
        <v>424</v>
      </c>
      <c r="D19" s="380">
        <v>273120.59999999998</v>
      </c>
      <c r="E19" s="381">
        <v>273120.59999999998</v>
      </c>
      <c r="F19" s="178">
        <f t="shared" ref="F19:F25" si="1">-(E19+A19-D19)</f>
        <v>0</v>
      </c>
    </row>
    <row r="20" spans="1:7" s="407" customFormat="1" ht="15" customHeight="1">
      <c r="A20" s="383">
        <v>2451254.7000000002</v>
      </c>
      <c r="B20" s="405" t="s">
        <v>28</v>
      </c>
      <c r="C20" s="405" t="s">
        <v>29</v>
      </c>
      <c r="D20" s="380">
        <v>12239953.17</v>
      </c>
      <c r="E20" s="381">
        <v>10568416.789999999</v>
      </c>
      <c r="F20" s="178">
        <f t="shared" si="1"/>
        <v>-779718.31999999844</v>
      </c>
    </row>
    <row r="21" spans="1:7" s="407" customFormat="1" ht="15" customHeight="1">
      <c r="A21" s="383">
        <v>5075221.57</v>
      </c>
      <c r="B21" s="405" t="s">
        <v>406</v>
      </c>
      <c r="C21" s="405" t="s">
        <v>407</v>
      </c>
      <c r="D21" s="380"/>
      <c r="E21" s="381">
        <v>763280.88</v>
      </c>
      <c r="F21" s="178">
        <f t="shared" si="1"/>
        <v>-5838502.4500000002</v>
      </c>
    </row>
    <row r="22" spans="1:7" s="407" customFormat="1" ht="15" customHeight="1">
      <c r="A22" s="383">
        <v>1443561.41</v>
      </c>
      <c r="B22" s="405" t="s">
        <v>408</v>
      </c>
      <c r="C22" s="405" t="s">
        <v>409</v>
      </c>
      <c r="D22" s="380">
        <v>0</v>
      </c>
      <c r="E22" s="381">
        <v>124388.9</v>
      </c>
      <c r="F22" s="178">
        <f t="shared" si="1"/>
        <v>-1567950.3099999998</v>
      </c>
    </row>
    <row r="23" spans="1:7" s="407" customFormat="1" ht="15" customHeight="1">
      <c r="A23" s="383">
        <v>1105929.32</v>
      </c>
      <c r="B23" s="405" t="s">
        <v>26</v>
      </c>
      <c r="C23" s="405" t="s">
        <v>27</v>
      </c>
      <c r="D23" s="380">
        <v>422101.13</v>
      </c>
      <c r="E23" s="381">
        <v>533951.53</v>
      </c>
      <c r="F23" s="178">
        <f t="shared" si="1"/>
        <v>-1217779.7200000002</v>
      </c>
    </row>
    <row r="24" spans="1:7" s="407" customFormat="1" ht="15" customHeight="1">
      <c r="A24" s="383">
        <v>29980852.779999997</v>
      </c>
      <c r="B24" s="405" t="s">
        <v>61</v>
      </c>
      <c r="C24" s="405" t="s">
        <v>62</v>
      </c>
      <c r="D24" s="380">
        <v>7255798.9299999997</v>
      </c>
      <c r="E24" s="381">
        <v>10315028.760000005</v>
      </c>
      <c r="F24" s="178">
        <f t="shared" si="1"/>
        <v>-33040082.610000007</v>
      </c>
    </row>
    <row r="25" spans="1:7" s="407" customFormat="1" ht="15" customHeight="1">
      <c r="B25" s="405" t="s">
        <v>30</v>
      </c>
      <c r="C25" s="405" t="s">
        <v>31</v>
      </c>
      <c r="D25" s="380">
        <v>0</v>
      </c>
      <c r="E25" s="381">
        <v>12348776.869999999</v>
      </c>
      <c r="F25" s="178">
        <f t="shared" si="1"/>
        <v>-12348776.869999999</v>
      </c>
    </row>
    <row r="26" spans="1:7" ht="15" customHeight="1">
      <c r="B26" s="405" t="s">
        <v>36</v>
      </c>
      <c r="C26" s="405" t="s">
        <v>37</v>
      </c>
      <c r="D26" s="380">
        <v>327273.87</v>
      </c>
      <c r="E26" s="381">
        <v>0</v>
      </c>
      <c r="F26" s="398">
        <f>D26</f>
        <v>327273.87</v>
      </c>
    </row>
    <row r="27" spans="1:7" ht="15" customHeight="1">
      <c r="B27" s="405" t="s">
        <v>38</v>
      </c>
      <c r="C27" s="405" t="s">
        <v>39</v>
      </c>
      <c r="D27" s="380">
        <v>234174</v>
      </c>
      <c r="E27" s="381">
        <v>0</v>
      </c>
      <c r="F27" s="400">
        <f t="shared" ref="F27:F45" si="2">D27</f>
        <v>234174</v>
      </c>
    </row>
    <row r="28" spans="1:7" ht="15" customHeight="1">
      <c r="B28" s="405" t="s">
        <v>40</v>
      </c>
      <c r="C28" s="405" t="s">
        <v>41</v>
      </c>
      <c r="D28" s="380">
        <v>432129.75</v>
      </c>
      <c r="E28" s="381">
        <v>0</v>
      </c>
      <c r="F28" s="398">
        <f t="shared" si="2"/>
        <v>432129.75</v>
      </c>
      <c r="G28" s="384">
        <f>SUM(F28+F26)</f>
        <v>759403.62</v>
      </c>
    </row>
    <row r="29" spans="1:7" ht="15" customHeight="1">
      <c r="B29" s="405" t="s">
        <v>414</v>
      </c>
      <c r="C29" s="405" t="s">
        <v>42</v>
      </c>
      <c r="D29" s="380">
        <v>26124.26</v>
      </c>
      <c r="E29" s="381">
        <v>0</v>
      </c>
      <c r="F29" s="411">
        <f t="shared" si="2"/>
        <v>26124.26</v>
      </c>
    </row>
    <row r="30" spans="1:7" ht="15" customHeight="1">
      <c r="B30" s="405" t="s">
        <v>43</v>
      </c>
      <c r="C30" s="405" t="s">
        <v>44</v>
      </c>
      <c r="D30" s="380">
        <v>1223520.03</v>
      </c>
      <c r="E30" s="381">
        <v>0</v>
      </c>
      <c r="F30" s="388">
        <f t="shared" si="2"/>
        <v>1223520.03</v>
      </c>
    </row>
    <row r="31" spans="1:7" ht="15" customHeight="1">
      <c r="B31" s="405" t="s">
        <v>417</v>
      </c>
      <c r="C31" s="405" t="s">
        <v>418</v>
      </c>
      <c r="D31" s="380">
        <v>315749.24</v>
      </c>
      <c r="E31" s="381">
        <v>0</v>
      </c>
      <c r="F31" s="385">
        <f t="shared" si="2"/>
        <v>315749.24</v>
      </c>
    </row>
    <row r="32" spans="1:7" ht="15" customHeight="1">
      <c r="B32" s="405" t="s">
        <v>419</v>
      </c>
      <c r="C32" s="405" t="s">
        <v>420</v>
      </c>
      <c r="D32" s="380">
        <v>53366.04</v>
      </c>
      <c r="E32" s="381">
        <v>0</v>
      </c>
      <c r="F32" s="385">
        <f t="shared" si="2"/>
        <v>53366.04</v>
      </c>
    </row>
    <row r="33" spans="2:7" ht="15" customHeight="1">
      <c r="B33" s="405" t="s">
        <v>421</v>
      </c>
      <c r="C33" s="405" t="s">
        <v>422</v>
      </c>
      <c r="D33" s="380">
        <v>315304.5</v>
      </c>
      <c r="E33" s="381">
        <v>0</v>
      </c>
      <c r="F33" s="385">
        <f t="shared" si="2"/>
        <v>315304.5</v>
      </c>
    </row>
    <row r="34" spans="2:7" s="407" customFormat="1" ht="15" customHeight="1">
      <c r="B34" s="402" t="s">
        <v>426</v>
      </c>
      <c r="C34" s="402" t="s">
        <v>427</v>
      </c>
      <c r="D34" s="380">
        <v>763280.88</v>
      </c>
      <c r="E34" s="381"/>
      <c r="F34" s="385">
        <f t="shared" si="2"/>
        <v>763280.88</v>
      </c>
    </row>
    <row r="35" spans="2:7" ht="15" customHeight="1">
      <c r="B35" s="405" t="s">
        <v>425</v>
      </c>
      <c r="C35" s="405" t="s">
        <v>33</v>
      </c>
      <c r="D35" s="380">
        <v>6350</v>
      </c>
      <c r="E35" s="381">
        <v>0</v>
      </c>
      <c r="F35" s="400">
        <f t="shared" si="2"/>
        <v>6350</v>
      </c>
    </row>
    <row r="36" spans="2:7" ht="15" customHeight="1">
      <c r="B36" s="405" t="s">
        <v>446</v>
      </c>
      <c r="C36" s="405" t="s">
        <v>447</v>
      </c>
      <c r="D36" s="380">
        <v>62055.49</v>
      </c>
      <c r="E36" s="381">
        <v>0</v>
      </c>
      <c r="F36" s="385">
        <f t="shared" si="2"/>
        <v>62055.49</v>
      </c>
    </row>
    <row r="37" spans="2:7" ht="15" customHeight="1">
      <c r="B37" s="405" t="s">
        <v>46</v>
      </c>
      <c r="C37" s="405" t="s">
        <v>47</v>
      </c>
      <c r="D37" s="380">
        <v>1775807.78</v>
      </c>
      <c r="E37" s="381">
        <v>0</v>
      </c>
      <c r="F37" s="398">
        <f t="shared" si="2"/>
        <v>1775807.78</v>
      </c>
      <c r="G37" s="384">
        <f>SUM(F37+F28+F26)</f>
        <v>2535211.4000000004</v>
      </c>
    </row>
    <row r="38" spans="2:7" ht="15" customHeight="1">
      <c r="B38" s="405" t="s">
        <v>34</v>
      </c>
      <c r="C38" s="405" t="s">
        <v>35</v>
      </c>
      <c r="D38" s="380">
        <v>534929.26</v>
      </c>
      <c r="E38" s="381">
        <v>0</v>
      </c>
      <c r="F38" s="385">
        <f t="shared" si="2"/>
        <v>534929.26</v>
      </c>
    </row>
    <row r="39" spans="2:7" ht="15" customHeight="1">
      <c r="B39" s="405" t="s">
        <v>473</v>
      </c>
      <c r="C39" s="405" t="s">
        <v>48</v>
      </c>
      <c r="D39" s="380">
        <v>4500</v>
      </c>
      <c r="E39" s="381">
        <v>0</v>
      </c>
      <c r="F39" s="400">
        <f t="shared" si="2"/>
        <v>4500</v>
      </c>
    </row>
    <row r="40" spans="2:7" ht="15" customHeight="1">
      <c r="B40" s="405" t="s">
        <v>445</v>
      </c>
      <c r="C40" s="405" t="s">
        <v>51</v>
      </c>
      <c r="D40" s="380">
        <v>6000</v>
      </c>
      <c r="E40" s="381">
        <v>0</v>
      </c>
      <c r="F40" s="400">
        <f t="shared" si="2"/>
        <v>6000</v>
      </c>
    </row>
    <row r="41" spans="2:7" ht="15" customHeight="1">
      <c r="B41" s="405" t="s">
        <v>428</v>
      </c>
      <c r="C41" s="405" t="s">
        <v>429</v>
      </c>
      <c r="D41" s="380">
        <v>550500</v>
      </c>
      <c r="E41" s="381">
        <v>0</v>
      </c>
      <c r="F41" s="385">
        <f t="shared" si="2"/>
        <v>550500</v>
      </c>
    </row>
    <row r="42" spans="2:7" ht="15" customHeight="1">
      <c r="B42" s="405" t="s">
        <v>52</v>
      </c>
      <c r="C42" s="405" t="s">
        <v>53</v>
      </c>
      <c r="D42" s="380">
        <v>2777469.34</v>
      </c>
      <c r="E42" s="381">
        <v>0</v>
      </c>
      <c r="F42" s="385">
        <f t="shared" si="2"/>
        <v>2777469.34</v>
      </c>
    </row>
    <row r="43" spans="2:7" ht="15" customHeight="1">
      <c r="B43" s="405" t="s">
        <v>55</v>
      </c>
      <c r="C43" s="405" t="s">
        <v>56</v>
      </c>
      <c r="D43" s="380">
        <v>39600</v>
      </c>
      <c r="E43" s="381">
        <v>0</v>
      </c>
      <c r="F43" s="400">
        <f t="shared" si="2"/>
        <v>39600</v>
      </c>
    </row>
    <row r="44" spans="2:7" ht="15" customHeight="1">
      <c r="B44" s="405" t="s">
        <v>468</v>
      </c>
      <c r="C44" s="405" t="s">
        <v>469</v>
      </c>
      <c r="D44" s="380">
        <v>7826.44</v>
      </c>
      <c r="E44" s="381">
        <v>0</v>
      </c>
      <c r="F44" s="385">
        <f t="shared" si="2"/>
        <v>7826.44</v>
      </c>
      <c r="G44" s="384">
        <f>SUM(F44+F42+F41+F38+F36+F33+F32+F31+F34)</f>
        <v>5380481.1900000004</v>
      </c>
    </row>
    <row r="45" spans="2:7" ht="15" customHeight="1">
      <c r="B45" s="405" t="s">
        <v>434</v>
      </c>
      <c r="C45" s="405" t="s">
        <v>435</v>
      </c>
      <c r="D45" s="380">
        <v>230000</v>
      </c>
      <c r="E45" s="381">
        <v>0</v>
      </c>
      <c r="F45" s="400">
        <f t="shared" si="2"/>
        <v>230000</v>
      </c>
      <c r="G45" s="384">
        <f>SUM(F45+F43+F39+F35+F40+F27)</f>
        <v>520624</v>
      </c>
    </row>
    <row r="46" spans="2:7" ht="15" customHeight="1">
      <c r="B46" s="406" t="s">
        <v>57</v>
      </c>
      <c r="C46" s="406" t="s">
        <v>58</v>
      </c>
      <c r="D46" s="382">
        <f>SUM(D9:D45)</f>
        <v>52572340.340000004</v>
      </c>
      <c r="E46" s="382">
        <f>SUM(E9:E45)</f>
        <v>52572340.339999996</v>
      </c>
      <c r="F46" s="384">
        <f>SUM(F9:F45)</f>
        <v>-1.2514647096395493E-8</v>
      </c>
    </row>
    <row r="47" spans="2:7" ht="14.25" customHeight="1">
      <c r="B47" s="407"/>
      <c r="C47" s="407"/>
    </row>
    <row r="48" spans="2:7">
      <c r="B48" s="407"/>
      <c r="C48" s="407"/>
    </row>
    <row r="49" spans="4:6">
      <c r="F49" s="384">
        <f>SUM(F26:F45)</f>
        <v>9685960.8800000008</v>
      </c>
    </row>
    <row r="50" spans="4:6">
      <c r="D50" s="383">
        <f>D46-E46</f>
        <v>0</v>
      </c>
    </row>
  </sheetData>
  <mergeCells count="3">
    <mergeCell ref="A2:F2"/>
    <mergeCell ref="A3:F3"/>
    <mergeCell ref="A4:F4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Impresion1/13/2025 2:59:03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B29" sqref="B29:C29"/>
    </sheetView>
  </sheetViews>
  <sheetFormatPr baseColWidth="10" defaultRowHeight="15"/>
  <cols>
    <col min="1" max="1" width="14.140625" style="383" bestFit="1" customWidth="1"/>
    <col min="2" max="2" width="16.5703125" style="389" bestFit="1" customWidth="1"/>
    <col min="3" max="3" width="50.85546875" style="389" customWidth="1"/>
    <col min="4" max="5" width="14.28515625" style="389" bestFit="1" customWidth="1"/>
    <col min="6" max="6" width="14.140625" style="389" bestFit="1" customWidth="1"/>
    <col min="7" max="8" width="14.85546875" style="389" bestFit="1" customWidth="1"/>
    <col min="9" max="16384" width="11.42578125" style="389"/>
  </cols>
  <sheetData>
    <row r="1" spans="1:7" ht="12" customHeight="1">
      <c r="C1" s="376"/>
    </row>
    <row r="2" spans="1:7" ht="12" customHeight="1">
      <c r="A2" s="458" t="s">
        <v>1</v>
      </c>
      <c r="B2" s="458"/>
      <c r="C2" s="458"/>
      <c r="D2" s="458"/>
      <c r="E2" s="458"/>
      <c r="F2" s="458"/>
    </row>
    <row r="3" spans="1:7" ht="12" customHeight="1">
      <c r="A3" s="458" t="s">
        <v>472</v>
      </c>
      <c r="B3" s="458"/>
      <c r="C3" s="458"/>
      <c r="D3" s="458"/>
      <c r="E3" s="458"/>
      <c r="F3" s="458"/>
    </row>
    <row r="4" spans="1:7" ht="12" customHeight="1">
      <c r="A4" s="458" t="s">
        <v>2</v>
      </c>
      <c r="B4" s="458"/>
      <c r="C4" s="458"/>
      <c r="D4" s="458"/>
      <c r="E4" s="458"/>
      <c r="F4" s="458"/>
    </row>
    <row r="5" spans="1:7" ht="12" customHeight="1"/>
    <row r="6" spans="1:7" ht="12" customHeight="1"/>
    <row r="7" spans="1:7" ht="17.25" customHeight="1">
      <c r="A7" s="375" t="s">
        <v>3</v>
      </c>
      <c r="B7" s="377" t="s">
        <v>4</v>
      </c>
      <c r="C7" s="375" t="s">
        <v>5</v>
      </c>
      <c r="D7" s="377" t="s">
        <v>6</v>
      </c>
      <c r="E7" s="375" t="s">
        <v>7</v>
      </c>
      <c r="F7" s="375" t="s">
        <v>8</v>
      </c>
    </row>
    <row r="8" spans="1:7" ht="15" customHeight="1">
      <c r="A8" s="383">
        <v>186545.40000000005</v>
      </c>
      <c r="B8" s="402" t="s">
        <v>11</v>
      </c>
      <c r="C8" s="402" t="s">
        <v>12</v>
      </c>
      <c r="D8" s="380">
        <v>185524.66</v>
      </c>
      <c r="E8" s="381">
        <v>370194.75</v>
      </c>
      <c r="F8" s="178">
        <f>A8+D8-E8</f>
        <v>1875.3100000000559</v>
      </c>
    </row>
    <row r="9" spans="1:7" ht="15" customHeight="1">
      <c r="B9" s="402" t="s">
        <v>416</v>
      </c>
      <c r="C9" s="402" t="s">
        <v>13</v>
      </c>
      <c r="D9" s="381">
        <v>47400</v>
      </c>
      <c r="E9" s="381">
        <v>47400</v>
      </c>
      <c r="F9" s="178">
        <f t="shared" ref="F9:F17" si="0">A9+D9-E9</f>
        <v>0</v>
      </c>
    </row>
    <row r="10" spans="1:7" ht="15" customHeight="1">
      <c r="A10" s="383">
        <v>1100.0500000016764</v>
      </c>
      <c r="B10" s="402" t="s">
        <v>14</v>
      </c>
      <c r="C10" s="402" t="s">
        <v>15</v>
      </c>
      <c r="D10" s="381">
        <v>8134291.6500000004</v>
      </c>
      <c r="E10" s="381">
        <v>7874254.5499999998</v>
      </c>
      <c r="F10" s="178">
        <f t="shared" si="0"/>
        <v>261137.15000000224</v>
      </c>
    </row>
    <row r="11" spans="1:7" ht="15" customHeight="1">
      <c r="A11" s="383">
        <v>19284358.039999999</v>
      </c>
      <c r="B11" s="402" t="s">
        <v>9</v>
      </c>
      <c r="C11" s="402" t="s">
        <v>10</v>
      </c>
      <c r="D11" s="380">
        <v>9620479.9499999993</v>
      </c>
      <c r="E11" s="381">
        <v>7084480.6799999997</v>
      </c>
      <c r="F11" s="178">
        <f t="shared" si="0"/>
        <v>21820357.309999999</v>
      </c>
      <c r="G11" s="384">
        <f>SUM(F8:F11)</f>
        <v>22083369.77</v>
      </c>
    </row>
    <row r="12" spans="1:7" ht="15" customHeight="1">
      <c r="B12" s="175" t="s">
        <v>16</v>
      </c>
      <c r="C12" s="351" t="s">
        <v>17</v>
      </c>
      <c r="D12" s="380"/>
      <c r="E12" s="381"/>
      <c r="F12" s="178">
        <f t="shared" si="0"/>
        <v>0</v>
      </c>
    </row>
    <row r="13" spans="1:7" ht="15" customHeight="1">
      <c r="B13" s="241" t="s">
        <v>18</v>
      </c>
      <c r="C13" s="352" t="s">
        <v>19</v>
      </c>
      <c r="D13" s="380">
        <v>5531281</v>
      </c>
      <c r="E13" s="381"/>
      <c r="F13" s="178">
        <f t="shared" si="0"/>
        <v>5531281</v>
      </c>
    </row>
    <row r="14" spans="1:7" ht="15" customHeight="1">
      <c r="A14" s="383">
        <v>1672241.7000000002</v>
      </c>
      <c r="B14" s="287" t="s">
        <v>20</v>
      </c>
      <c r="C14" s="353" t="s">
        <v>21</v>
      </c>
      <c r="D14" s="380"/>
      <c r="E14" s="381"/>
      <c r="F14" s="178">
        <f t="shared" si="0"/>
        <v>1672241.7000000002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9767959.1399999969</v>
      </c>
      <c r="B16" s="287" t="s">
        <v>24</v>
      </c>
      <c r="C16" s="353" t="s">
        <v>25</v>
      </c>
      <c r="D16" s="380"/>
      <c r="E16" s="381"/>
      <c r="F16" s="178">
        <f t="shared" si="0"/>
        <v>9767959.1399999969</v>
      </c>
    </row>
    <row r="17" spans="1:8" ht="15" customHeight="1">
      <c r="A17" s="383">
        <v>983172.64999999991</v>
      </c>
      <c r="B17" s="241" t="s">
        <v>59</v>
      </c>
      <c r="C17" s="352" t="s">
        <v>60</v>
      </c>
      <c r="D17" s="380"/>
      <c r="E17" s="381"/>
      <c r="F17" s="178">
        <f t="shared" si="0"/>
        <v>983172.64999999991</v>
      </c>
      <c r="G17" s="384">
        <f>SUM(F14:F17)</f>
        <v>18494157.899999995</v>
      </c>
    </row>
    <row r="18" spans="1:8" ht="15" customHeight="1">
      <c r="A18" s="383">
        <v>1.3</v>
      </c>
      <c r="B18" s="402" t="s">
        <v>423</v>
      </c>
      <c r="C18" s="402" t="s">
        <v>424</v>
      </c>
      <c r="D18" s="381">
        <v>138924.29999999999</v>
      </c>
      <c r="E18" s="381">
        <v>138923</v>
      </c>
      <c r="F18" s="178">
        <f t="shared" ref="F18:F26" si="1">-(E18+A18-D18)</f>
        <v>0</v>
      </c>
    </row>
    <row r="19" spans="1:8" ht="15" customHeight="1">
      <c r="A19" s="383">
        <v>9780060.3800000008</v>
      </c>
      <c r="B19" s="402" t="s">
        <v>28</v>
      </c>
      <c r="C19" s="402" t="s">
        <v>29</v>
      </c>
      <c r="D19" s="380">
        <v>12689630.65</v>
      </c>
      <c r="E19" s="381">
        <v>5360824.97</v>
      </c>
      <c r="F19" s="178">
        <f t="shared" si="1"/>
        <v>-2451254.7000000011</v>
      </c>
    </row>
    <row r="20" spans="1:8" ht="15" customHeight="1">
      <c r="A20" s="383">
        <v>4311940.6900000004</v>
      </c>
      <c r="B20" s="402" t="s">
        <v>406</v>
      </c>
      <c r="C20" s="402" t="s">
        <v>407</v>
      </c>
      <c r="D20" s="389">
        <v>0</v>
      </c>
      <c r="E20" s="389">
        <v>763280.88</v>
      </c>
      <c r="F20" s="178">
        <f t="shared" si="1"/>
        <v>-5075221.57</v>
      </c>
    </row>
    <row r="21" spans="1:8" ht="15" customHeight="1">
      <c r="A21" s="383">
        <v>1314633.19</v>
      </c>
      <c r="B21" s="402" t="s">
        <v>408</v>
      </c>
      <c r="C21" s="402" t="s">
        <v>409</v>
      </c>
      <c r="D21" s="380">
        <v>0</v>
      </c>
      <c r="E21" s="381">
        <v>128928.22</v>
      </c>
      <c r="F21" s="178">
        <f t="shared" si="1"/>
        <v>-1443561.41</v>
      </c>
    </row>
    <row r="22" spans="1:8" ht="15" customHeight="1">
      <c r="A22" s="383">
        <v>889447.94</v>
      </c>
      <c r="B22" s="402" t="s">
        <v>26</v>
      </c>
      <c r="C22" s="402" t="s">
        <v>27</v>
      </c>
      <c r="D22" s="380">
        <v>409987.75</v>
      </c>
      <c r="E22" s="381">
        <v>626469.13</v>
      </c>
      <c r="F22" s="178">
        <f t="shared" si="1"/>
        <v>-1105929.3199999998</v>
      </c>
    </row>
    <row r="23" spans="1:8" ht="15" customHeight="1">
      <c r="A23" s="383">
        <v>21670077.889999986</v>
      </c>
      <c r="B23" s="287" t="s">
        <v>61</v>
      </c>
      <c r="C23" s="353" t="s">
        <v>62</v>
      </c>
      <c r="D23" s="380"/>
      <c r="E23" s="381">
        <v>5531281.0000000075</v>
      </c>
      <c r="F23" s="178">
        <f t="shared" si="1"/>
        <v>-27201358.889999993</v>
      </c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</row>
    <row r="25" spans="1:8" ht="15" customHeight="1">
      <c r="B25" s="402" t="s">
        <v>431</v>
      </c>
      <c r="C25" s="402" t="s">
        <v>432</v>
      </c>
      <c r="D25" s="381">
        <v>0</v>
      </c>
      <c r="E25" s="381">
        <v>440137.39</v>
      </c>
      <c r="F25" s="178">
        <f t="shared" si="1"/>
        <v>-440137.39</v>
      </c>
    </row>
    <row r="26" spans="1:8" ht="15" customHeight="1">
      <c r="B26" s="402" t="s">
        <v>30</v>
      </c>
      <c r="C26" s="402" t="s">
        <v>31</v>
      </c>
      <c r="D26" s="380">
        <v>0</v>
      </c>
      <c r="E26" s="381">
        <v>17500158.870000001</v>
      </c>
      <c r="F26" s="178">
        <f t="shared" si="1"/>
        <v>-17500158.870000001</v>
      </c>
      <c r="G26" s="384">
        <f>SUM(F25:F26)</f>
        <v>-17940296.260000002</v>
      </c>
      <c r="H26" s="384"/>
    </row>
    <row r="27" spans="1:8" ht="15" customHeight="1">
      <c r="B27" s="402" t="s">
        <v>36</v>
      </c>
      <c r="C27" s="402" t="s">
        <v>37</v>
      </c>
      <c r="D27" s="380">
        <v>123311.85</v>
      </c>
      <c r="E27" s="381">
        <v>0</v>
      </c>
      <c r="F27" s="403">
        <f>D27</f>
        <v>123311.85</v>
      </c>
    </row>
    <row r="28" spans="1:8" ht="15" customHeight="1">
      <c r="B28" s="402" t="s">
        <v>38</v>
      </c>
      <c r="C28" s="402" t="s">
        <v>39</v>
      </c>
      <c r="D28" s="380">
        <v>1117914.8400000001</v>
      </c>
      <c r="E28" s="381">
        <v>0</v>
      </c>
      <c r="F28" s="225">
        <f t="shared" ref="F28:F42" si="2">D28</f>
        <v>1117914.8400000001</v>
      </c>
    </row>
    <row r="29" spans="1:8" ht="15" customHeight="1">
      <c r="B29" s="402" t="s">
        <v>426</v>
      </c>
      <c r="C29" s="402" t="s">
        <v>427</v>
      </c>
      <c r="D29" s="380">
        <v>763280.88</v>
      </c>
      <c r="E29" s="381">
        <v>0</v>
      </c>
      <c r="F29" s="218">
        <f t="shared" si="2"/>
        <v>763280.88</v>
      </c>
    </row>
    <row r="30" spans="1:8" ht="15" customHeight="1">
      <c r="B30" s="402" t="s">
        <v>40</v>
      </c>
      <c r="C30" s="402" t="s">
        <v>41</v>
      </c>
      <c r="D30" s="381">
        <v>617000.79</v>
      </c>
      <c r="E30" s="381">
        <v>0</v>
      </c>
      <c r="F30" s="403">
        <f t="shared" si="2"/>
        <v>617000.79</v>
      </c>
    </row>
    <row r="31" spans="1:8" ht="15" customHeight="1">
      <c r="B31" s="402" t="s">
        <v>414</v>
      </c>
      <c r="C31" s="402" t="s">
        <v>42</v>
      </c>
      <c r="D31" s="381">
        <v>23316.17</v>
      </c>
      <c r="E31" s="381">
        <v>0</v>
      </c>
      <c r="F31" s="178">
        <f t="shared" si="2"/>
        <v>23316.17</v>
      </c>
    </row>
    <row r="32" spans="1:8" ht="15" customHeight="1">
      <c r="B32" s="402" t="s">
        <v>43</v>
      </c>
      <c r="C32" s="402" t="s">
        <v>44</v>
      </c>
      <c r="D32" s="381">
        <v>757984.8</v>
      </c>
      <c r="E32" s="381">
        <v>0</v>
      </c>
      <c r="F32" s="178">
        <f t="shared" si="2"/>
        <v>757984.8</v>
      </c>
    </row>
    <row r="33" spans="1:7" ht="15" customHeight="1">
      <c r="A33" s="381"/>
      <c r="B33" s="402" t="s">
        <v>417</v>
      </c>
      <c r="C33" s="402" t="s">
        <v>418</v>
      </c>
      <c r="D33" s="381">
        <v>160714.62</v>
      </c>
      <c r="E33" s="381">
        <v>0</v>
      </c>
      <c r="F33" s="218">
        <f t="shared" si="2"/>
        <v>160714.62</v>
      </c>
    </row>
    <row r="34" spans="1:7" ht="15" customHeight="1">
      <c r="B34" s="402" t="s">
        <v>419</v>
      </c>
      <c r="C34" s="402" t="s">
        <v>420</v>
      </c>
      <c r="D34" s="381">
        <v>27163.02</v>
      </c>
      <c r="E34" s="381">
        <v>0</v>
      </c>
      <c r="F34" s="218">
        <f t="shared" si="2"/>
        <v>27163.02</v>
      </c>
    </row>
    <row r="35" spans="1:7" ht="15" customHeight="1">
      <c r="B35" s="402" t="s">
        <v>421</v>
      </c>
      <c r="C35" s="402" t="s">
        <v>422</v>
      </c>
      <c r="D35" s="381">
        <v>160488.25</v>
      </c>
      <c r="E35" s="381">
        <v>0</v>
      </c>
      <c r="F35" s="218">
        <f t="shared" si="2"/>
        <v>160488.25</v>
      </c>
    </row>
    <row r="36" spans="1:7" ht="15" customHeight="1">
      <c r="B36" s="402" t="s">
        <v>425</v>
      </c>
      <c r="C36" s="402" t="s">
        <v>33</v>
      </c>
      <c r="D36" s="381">
        <v>6635</v>
      </c>
      <c r="E36" s="381">
        <v>0</v>
      </c>
      <c r="F36" s="225">
        <f t="shared" si="2"/>
        <v>6635</v>
      </c>
    </row>
    <row r="37" spans="1:7" ht="15" customHeight="1">
      <c r="B37" s="402" t="s">
        <v>46</v>
      </c>
      <c r="C37" s="402" t="s">
        <v>47</v>
      </c>
      <c r="D37" s="380">
        <v>3004489.69</v>
      </c>
      <c r="E37" s="381">
        <v>0</v>
      </c>
      <c r="F37" s="403">
        <f t="shared" si="2"/>
        <v>3004489.69</v>
      </c>
      <c r="G37" s="384">
        <f>SUM(F37+F30+F27)</f>
        <v>3744802.33</v>
      </c>
    </row>
    <row r="38" spans="1:7" ht="15" customHeight="1">
      <c r="B38" s="402" t="s">
        <v>34</v>
      </c>
      <c r="C38" s="402" t="s">
        <v>35</v>
      </c>
      <c r="D38" s="380">
        <v>128928.22</v>
      </c>
      <c r="E38" s="381">
        <v>0</v>
      </c>
      <c r="F38" s="218">
        <f t="shared" si="2"/>
        <v>128928.22</v>
      </c>
    </row>
    <row r="39" spans="1:7" ht="15" customHeight="1">
      <c r="B39" s="402" t="s">
        <v>428</v>
      </c>
      <c r="C39" s="402" t="s">
        <v>429</v>
      </c>
      <c r="D39" s="380">
        <v>235000</v>
      </c>
      <c r="E39" s="381">
        <v>0</v>
      </c>
      <c r="F39" s="218">
        <f t="shared" si="2"/>
        <v>235000</v>
      </c>
    </row>
    <row r="40" spans="1:7" ht="15" customHeight="1">
      <c r="B40" s="402" t="s">
        <v>52</v>
      </c>
      <c r="C40" s="402" t="s">
        <v>53</v>
      </c>
      <c r="D40" s="380">
        <v>1663585.35</v>
      </c>
      <c r="E40" s="381">
        <v>0</v>
      </c>
      <c r="F40" s="218">
        <f t="shared" si="2"/>
        <v>1663585.35</v>
      </c>
      <c r="G40" s="384">
        <f>SUM(F40+F38+F39+F35+F34+F33+F29)</f>
        <v>3139160.3400000003</v>
      </c>
    </row>
    <row r="41" spans="1:7" ht="15" customHeight="1">
      <c r="B41" s="402" t="s">
        <v>55</v>
      </c>
      <c r="C41" s="402" t="s">
        <v>56</v>
      </c>
      <c r="D41" s="380">
        <v>47400</v>
      </c>
      <c r="E41" s="381">
        <v>0</v>
      </c>
      <c r="F41" s="225">
        <f t="shared" si="2"/>
        <v>47400</v>
      </c>
    </row>
    <row r="42" spans="1:7" ht="15" customHeight="1">
      <c r="B42" s="402" t="s">
        <v>434</v>
      </c>
      <c r="C42" s="402" t="s">
        <v>435</v>
      </c>
      <c r="D42" s="380">
        <v>271600</v>
      </c>
      <c r="E42" s="381">
        <v>0</v>
      </c>
      <c r="F42" s="225">
        <f t="shared" si="2"/>
        <v>271600</v>
      </c>
      <c r="G42" s="384">
        <f>SUM(F42+F41+F36+F28)</f>
        <v>1443549.84</v>
      </c>
    </row>
    <row r="43" spans="1:7">
      <c r="B43" s="379" t="s">
        <v>57</v>
      </c>
      <c r="C43" s="379" t="s">
        <v>58</v>
      </c>
      <c r="D43" s="382">
        <f>SUM(D8:D42)</f>
        <v>45866333.440000005</v>
      </c>
      <c r="E43" s="382">
        <f>SUM(E8:E42)</f>
        <v>45866333.440000005</v>
      </c>
      <c r="F43" s="384">
        <f>SUM(F8:F42)</f>
        <v>-1.3969838619232178E-9</v>
      </c>
    </row>
    <row r="44" spans="1:7" ht="13.5" customHeight="1"/>
    <row r="45" spans="1:7" ht="14.25" customHeight="1"/>
    <row r="46" spans="1:7">
      <c r="D46" s="384">
        <f>D43-E43</f>
        <v>0</v>
      </c>
      <c r="F46" s="384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58" t="s">
        <v>1</v>
      </c>
      <c r="B2" s="458"/>
      <c r="C2" s="458"/>
      <c r="D2" s="458"/>
      <c r="E2" s="458"/>
      <c r="F2" s="458"/>
    </row>
    <row r="3" spans="1:7" ht="22.9" customHeight="1">
      <c r="A3" s="458" t="s">
        <v>470</v>
      </c>
      <c r="B3" s="458"/>
      <c r="C3" s="458"/>
      <c r="D3" s="458"/>
      <c r="E3" s="458"/>
      <c r="F3" s="458"/>
    </row>
    <row r="4" spans="1:7" ht="13.5" customHeight="1">
      <c r="A4" s="458" t="s">
        <v>2</v>
      </c>
      <c r="B4" s="458"/>
      <c r="C4" s="458"/>
      <c r="D4" s="458"/>
      <c r="E4" s="458"/>
      <c r="F4" s="458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01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01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58" t="s">
        <v>1</v>
      </c>
      <c r="B2" s="458"/>
      <c r="C2" s="458"/>
      <c r="D2" s="458"/>
      <c r="E2" s="458"/>
      <c r="F2" s="458"/>
    </row>
    <row r="3" spans="1:7" ht="22.9" customHeight="1">
      <c r="A3" s="458" t="s">
        <v>467</v>
      </c>
      <c r="B3" s="458"/>
      <c r="C3" s="458"/>
      <c r="D3" s="458"/>
      <c r="E3" s="458"/>
      <c r="F3" s="458"/>
    </row>
    <row r="4" spans="1:7" ht="14.25" customHeight="1">
      <c r="A4" s="458" t="s">
        <v>2</v>
      </c>
      <c r="B4" s="458"/>
      <c r="C4" s="458"/>
      <c r="D4" s="458"/>
      <c r="E4" s="458"/>
      <c r="F4" s="458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58" t="s">
        <v>1</v>
      </c>
      <c r="B2" s="458"/>
      <c r="C2" s="458"/>
      <c r="D2" s="458"/>
      <c r="E2" s="458"/>
      <c r="F2" s="458"/>
    </row>
    <row r="3" spans="1:7" ht="22.9" customHeight="1">
      <c r="A3" s="458" t="s">
        <v>464</v>
      </c>
      <c r="B3" s="458"/>
      <c r="C3" s="458"/>
      <c r="D3" s="458"/>
      <c r="E3" s="458"/>
      <c r="F3" s="458"/>
    </row>
    <row r="4" spans="1:7" ht="15.75" customHeight="1">
      <c r="A4" s="458" t="s">
        <v>2</v>
      </c>
      <c r="B4" s="458"/>
      <c r="C4" s="458"/>
      <c r="D4" s="458"/>
      <c r="E4" s="458"/>
      <c r="F4" s="458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36</vt:i4>
      </vt:variant>
    </vt:vector>
  </HeadingPairs>
  <TitlesOfParts>
    <vt:vector size="69" baseType="lpstr">
      <vt:lpstr>Balanza Abril 2025</vt:lpstr>
      <vt:lpstr>Balanza Marzo 2025</vt:lpstr>
      <vt:lpstr>Balanza Febrero 2025</vt:lpstr>
      <vt:lpstr>Balanza Enero 2025</vt:lpstr>
      <vt:lpstr>Balanza Diciembre 2024</vt:lpstr>
      <vt:lpstr>Balanza Noviembre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Abril 2025'!Área_de_impresión</vt:lpstr>
      <vt:lpstr>'Balanza Agosto 2024'!Área_de_impresión</vt:lpstr>
      <vt:lpstr>'Balanza Diciembre 2024'!Área_de_impresión</vt:lpstr>
      <vt:lpstr>'Balanza Enero 2024'!Área_de_impresión</vt:lpstr>
      <vt:lpstr>'Balanza Enero 2025'!Área_de_impresión</vt:lpstr>
      <vt:lpstr>'Balanza Febrero 2024'!Área_de_impresión</vt:lpstr>
      <vt:lpstr>'Balanza Febrero 2025'!Área_de_impresión</vt:lpstr>
      <vt:lpstr>'Balanza Junio 2024'!Área_de_impresión</vt:lpstr>
      <vt:lpstr>'Balanza Marzo 2024'!Área_de_impresión</vt:lpstr>
      <vt:lpstr>'Balanza Marzo 2025'!Área_de_impresión</vt:lpstr>
      <vt:lpstr>'Balanza MAYO 2023'!Área_de_impresión</vt:lpstr>
      <vt:lpstr>'Balanza Mayo 2024'!Área_de_impresión</vt:lpstr>
      <vt:lpstr>'Balanza Noviembre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Abril 2025'!Títulos_a_imprimir</vt:lpstr>
      <vt:lpstr>'Balanza Agosto 2024'!Títulos_a_imprimir</vt:lpstr>
      <vt:lpstr>'Balanza Diciembre 2024'!Títulos_a_imprimir</vt:lpstr>
      <vt:lpstr>'Balanza ENERO 2023'!Títulos_a_imprimir</vt:lpstr>
      <vt:lpstr>'Balanza Enero 2024'!Títulos_a_imprimir</vt:lpstr>
      <vt:lpstr>'Balanza Enero 2025'!Títulos_a_imprimir</vt:lpstr>
      <vt:lpstr>'Balanza Febrero 2024'!Títulos_a_imprimir</vt:lpstr>
      <vt:lpstr>'Balanza Febrero 2025'!Títulos_a_imprimir</vt:lpstr>
      <vt:lpstr>'Balanza Julio 2024'!Títulos_a_imprimir</vt:lpstr>
      <vt:lpstr>'Balanza Marzo 2024'!Títulos_a_imprimir</vt:lpstr>
      <vt:lpstr>'Balanza Marzo 2025'!Títulos_a_imprimir</vt:lpstr>
      <vt:lpstr>'Balanza MAYO 2023'!Títulos_a_imprimir</vt:lpstr>
      <vt:lpstr>'Balanza Mayo 2024'!Títulos_a_imprimir</vt:lpstr>
      <vt:lpstr>'Balanza Noviembre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2025-05-13T15:03:15Z</cp:lastPrinted>
  <dcterms:created xsi:type="dcterms:W3CDTF">2018-05-02T13:48:00Z</dcterms:created>
  <dcterms:modified xsi:type="dcterms:W3CDTF">2025-05-13T17:12:05Z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